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activeTab="0"/>
  </bookViews>
  <sheets>
    <sheet name="利用・提供票" sheetId="1" r:id="rId1"/>
  </sheets>
  <definedNames>
    <definedName name="_xlfn.SUMIFS" hidden="1">#NAME?</definedName>
    <definedName name="サービス">#REF!</definedName>
    <definedName name="サービス区分">#REF!</definedName>
    <definedName name="サービス種別">#REF!</definedName>
    <definedName name="加算体制">#REF!</definedName>
    <definedName name="行政区">#REF!</definedName>
    <definedName name="合計">#REF!</definedName>
    <definedName name="事業者名">#REF!</definedName>
    <definedName name="処遇改善加算">#REF!</definedName>
    <definedName name="地域包括名">#REF!</definedName>
  </definedNames>
  <calcPr fullCalcOnLoad="1"/>
</workbook>
</file>

<file path=xl/sharedStrings.xml><?xml version="1.0" encoding="utf-8"?>
<sst xmlns="http://schemas.openxmlformats.org/spreadsheetml/2006/main" count="299" uniqueCount="211">
  <si>
    <t>保険者
番号</t>
  </si>
  <si>
    <t>被保険者
番号</t>
  </si>
  <si>
    <t>生年月日</t>
  </si>
  <si>
    <t>保険者名</t>
  </si>
  <si>
    <t>フリガナ
被保険者氏名</t>
  </si>
  <si>
    <t>介護予防支援
事業者事業所名</t>
  </si>
  <si>
    <t>事業者番号</t>
  </si>
  <si>
    <t>性別</t>
  </si>
  <si>
    <t>男</t>
  </si>
  <si>
    <t>女</t>
  </si>
  <si>
    <t>公費負担情報等</t>
  </si>
  <si>
    <t>要介護状態区分</t>
  </si>
  <si>
    <t>認定の
有効期間</t>
  </si>
  <si>
    <t>介護支援専門員番号</t>
  </si>
  <si>
    <t>保険者確認印</t>
  </si>
  <si>
    <t>区分支給
限度基準額</t>
  </si>
  <si>
    <t>単位/月</t>
  </si>
  <si>
    <t>月間サービス計画及び実績の記録</t>
  </si>
  <si>
    <t>日付</t>
  </si>
  <si>
    <t>曜日</t>
  </si>
  <si>
    <t>合計
回数</t>
  </si>
  <si>
    <t>予定</t>
  </si>
  <si>
    <t>実績</t>
  </si>
  <si>
    <t>サービス内容</t>
  </si>
  <si>
    <r>
      <t xml:space="preserve">作成年月日
</t>
    </r>
    <r>
      <rPr>
        <sz val="9"/>
        <rFont val="ＭＳ 明朝"/>
        <family val="1"/>
      </rPr>
      <t>(利用確認日)</t>
    </r>
  </si>
  <si>
    <t>事業所名</t>
  </si>
  <si>
    <t>事業所番号</t>
  </si>
  <si>
    <t>サービス内容／種類</t>
  </si>
  <si>
    <t>サービスコード</t>
  </si>
  <si>
    <t>単位数</t>
  </si>
  <si>
    <t>割引後</t>
  </si>
  <si>
    <t>率％</t>
  </si>
  <si>
    <t>回数</t>
  </si>
  <si>
    <t>区分支給限度基準内単位数</t>
  </si>
  <si>
    <t>保険給付額</t>
  </si>
  <si>
    <t>単位数
単価</t>
  </si>
  <si>
    <t>給付率
(%)</t>
  </si>
  <si>
    <t>利用者負担
(保険対象分）</t>
  </si>
  <si>
    <t>利用者負担
(全額負担分)</t>
  </si>
  <si>
    <t>費用総額
(保険対象分）</t>
  </si>
  <si>
    <t>合計</t>
  </si>
  <si>
    <t>木</t>
  </si>
  <si>
    <t>金</t>
  </si>
  <si>
    <t>土</t>
  </si>
  <si>
    <t>日</t>
  </si>
  <si>
    <t>火</t>
  </si>
  <si>
    <t>水</t>
  </si>
  <si>
    <t>認定済</t>
  </si>
  <si>
    <t>申請中</t>
  </si>
  <si>
    <t>単位</t>
  </si>
  <si>
    <t>月</t>
  </si>
  <si>
    <t>介護予防支援
作成依頼(変更)
届出年月日</t>
  </si>
  <si>
    <t>区分支給限度管理・利用者負担計算【利用･提供別表】</t>
  </si>
  <si>
    <t>介護予防サービス利用・提供票</t>
  </si>
  <si>
    <t>予防通所介護合計</t>
  </si>
  <si>
    <t>予防通所リハ合計</t>
  </si>
  <si>
    <t>予防訪問看護合計</t>
  </si>
  <si>
    <t>予防訪問リハ合計</t>
  </si>
  <si>
    <t>サービス
単位/金額</t>
  </si>
  <si>
    <t>サービス事業者事業所名
/事業者番号</t>
  </si>
  <si>
    <t>～</t>
  </si>
  <si>
    <t>まで</t>
  </si>
  <si>
    <t>前月までの短期
入所利用日数</t>
  </si>
  <si>
    <t>予防訪問介護合計</t>
  </si>
  <si>
    <t>地域包括支援センター門司１</t>
  </si>
  <si>
    <t>地域包括支援センター門司２</t>
  </si>
  <si>
    <t>地域包括支援センター門司３</t>
  </si>
  <si>
    <t>地域包括支援センター小倉北１</t>
  </si>
  <si>
    <t>地域包括支援センター小倉北２</t>
  </si>
  <si>
    <t>地域包括支援センター小倉北３</t>
  </si>
  <si>
    <t>地域包括支援センター小倉北４</t>
  </si>
  <si>
    <t>地域包括支援センター小倉南１</t>
  </si>
  <si>
    <t>地域包括支援センター小倉南２</t>
  </si>
  <si>
    <t>地域包括支援センター小倉南３</t>
  </si>
  <si>
    <t>地域包括支援センター小倉南４</t>
  </si>
  <si>
    <t>地域包括支援センター小倉南５</t>
  </si>
  <si>
    <t>地域包括支援センター若松１</t>
  </si>
  <si>
    <t>地域包括支援センター若松２</t>
  </si>
  <si>
    <t>地域包括支援センター八幡東１</t>
  </si>
  <si>
    <t>地域包括支援センター八幡東２</t>
  </si>
  <si>
    <t>地域包括支援センター八幡西１</t>
  </si>
  <si>
    <t>地域包括支援センター八幡西２</t>
  </si>
  <si>
    <t>地域包括支援センター八幡西３</t>
  </si>
  <si>
    <t>地域包括支援センター八幡西４</t>
  </si>
  <si>
    <t>地域包括支援センター八幡西５</t>
  </si>
  <si>
    <t>地域包括支援センター八幡西６</t>
  </si>
  <si>
    <t>地域包括支援センター戸畑１</t>
  </si>
  <si>
    <t>地域包括支援センター戸畑２</t>
  </si>
  <si>
    <t>北九州市門司区</t>
  </si>
  <si>
    <t>種類支給
限度基準内
単位数</t>
  </si>
  <si>
    <t>種類支給
限度基準を
超える単位数</t>
  </si>
  <si>
    <t>区分支給
限度基準を
超える単位数</t>
  </si>
  <si>
    <t>1-1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</si>
  <si>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</si>
  <si>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</si>
  <si>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</si>
  <si>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</si>
  <si>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</si>
  <si>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</si>
  <si>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Ａ</t>
  </si>
  <si>
    <t>ＡＦ</t>
  </si>
  <si>
    <t>訪問介護</t>
  </si>
  <si>
    <t>処遇改善加算Ⅱ</t>
  </si>
  <si>
    <t>通所介護</t>
  </si>
  <si>
    <t>処遇改善加算Ⅲ</t>
  </si>
  <si>
    <t>通所リハビリ</t>
  </si>
  <si>
    <t>短期入所生活</t>
  </si>
  <si>
    <t>短期入所療養（老）</t>
  </si>
  <si>
    <t>短期入所療養（病）</t>
  </si>
  <si>
    <t>福祉用具貸与</t>
  </si>
  <si>
    <t>訪問看護</t>
  </si>
  <si>
    <t>訪問リハ</t>
  </si>
  <si>
    <t>合計判定</t>
  </si>
  <si>
    <r>
      <t>変更後</t>
    </r>
    <r>
      <rPr>
        <sz val="10"/>
        <rFont val="ＭＳ 明朝"/>
        <family val="1"/>
      </rPr>
      <t>要介護状態区分</t>
    </r>
    <r>
      <rPr>
        <sz val="11"/>
        <rFont val="ＭＳ 明朝"/>
        <family val="1"/>
      </rPr>
      <t>変更日</t>
    </r>
  </si>
  <si>
    <t>委託先の支援事業者名</t>
  </si>
  <si>
    <t>委託先の介護支援専門員名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</si>
  <si>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</si>
  <si>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</si>
  <si>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</si>
  <si>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</si>
  <si>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</si>
  <si>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</si>
  <si>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</si>
  <si>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（予防緊急時訪問看護加算１）</t>
  </si>
  <si>
    <t>（予防緊急時訪問看護加算２）</t>
  </si>
  <si>
    <t>（予防訪問看護特別管理加算Ⅰ）</t>
  </si>
  <si>
    <t>（予防訪問看護特別管理加算Ⅱ）</t>
  </si>
  <si>
    <t>年　月　日</t>
  </si>
  <si>
    <t>区分支給限度基準額(単位)</t>
  </si>
  <si>
    <t>予防福祉用具貸与合計</t>
  </si>
  <si>
    <t>限度額外</t>
  </si>
  <si>
    <t>看護計</t>
  </si>
  <si>
    <t>（　　　）・・・・区分支給限度額外単位または金額</t>
  </si>
  <si>
    <t>利用者負担合計</t>
  </si>
  <si>
    <t>処遇改善加算Ⅰ</t>
  </si>
  <si>
    <t>予防短期入所療養介護合計</t>
  </si>
  <si>
    <t>予防短期入所生活介護合計</t>
  </si>
  <si>
    <t>処遇改善加算Ⅳ</t>
  </si>
  <si>
    <t>（予防訪問看護サービス提供体制加算）</t>
  </si>
  <si>
    <t>（予防通所サービス提供体制加算Ⅱ1）</t>
  </si>
  <si>
    <t>（予防通所サービス提供体制加算Ⅱ2）</t>
  </si>
  <si>
    <t>（予防訪問リハサービス提供体制加算）</t>
  </si>
  <si>
    <t>訪問入浴介護</t>
  </si>
  <si>
    <t>予防訪問入浴介護合計</t>
  </si>
  <si>
    <t>処遇改善加算合計</t>
  </si>
  <si>
    <t>処遇加算</t>
  </si>
  <si>
    <t>総単位</t>
  </si>
  <si>
    <t>外単位</t>
  </si>
  <si>
    <t>合計</t>
  </si>
  <si>
    <t>看護</t>
  </si>
  <si>
    <t>F</t>
  </si>
  <si>
    <t>一月</t>
  </si>
  <si>
    <t>一回</t>
  </si>
  <si>
    <t>外単位合計</t>
  </si>
  <si>
    <t>BE38*</t>
  </si>
  <si>
    <t>BF38*</t>
  </si>
  <si>
    <t>BE38*+</t>
  </si>
  <si>
    <t>BF38*+</t>
  </si>
  <si>
    <t>利用者負担
の割合</t>
  </si>
  <si>
    <t>1割</t>
  </si>
  <si>
    <t>2割</t>
  </si>
  <si>
    <t>3割</t>
  </si>
  <si>
    <t>総合計</t>
  </si>
  <si>
    <t>日</t>
  </si>
  <si>
    <t>（予防通所サービス提供体制加算Ⅰ11）</t>
  </si>
  <si>
    <t>（予防通所サービス提供体制加算Ⅰ22）</t>
  </si>
  <si>
    <t>（予防通所サービス提供体制加算Ⅰ12）</t>
  </si>
  <si>
    <t>（予防通所サービス提供体制加算Ⅰ21）</t>
  </si>
  <si>
    <t>（予通リハサービス提供体制加算Ⅰ11）</t>
  </si>
  <si>
    <t>（予通リハサービス提供体制加算Ⅰ12）</t>
  </si>
  <si>
    <t>（予通リハサービス提供体制加算Ⅰ21）</t>
  </si>
  <si>
    <t>（予通リハサービス提供体制加算Ⅰ22）</t>
  </si>
  <si>
    <t>（予通リハサービス提供体制加算Ⅱ1）</t>
  </si>
  <si>
    <t>（予通リハサービス提供体制加算Ⅱ2）</t>
  </si>
  <si>
    <t>（予短期生活サービス提供体制加算Ⅰ1)</t>
  </si>
  <si>
    <t>（予短期生活サービス提供体制加算Ⅰ2)</t>
  </si>
  <si>
    <t>（予短期生活サービス提供体制加算Ⅱ)</t>
  </si>
  <si>
    <t>（予短期生活サービス提供体制加算Ⅲ)</t>
  </si>
  <si>
    <t>（予老短サービス提供体制加算Ⅰ1）</t>
  </si>
  <si>
    <t>（予老短サービス提供体制加算Ⅰ2）</t>
  </si>
  <si>
    <t>（予老短サービス提供体制加算Ⅱ）</t>
  </si>
  <si>
    <t>（予老短サービス提供体制加算Ⅲ）</t>
  </si>
  <si>
    <t>（予病院療短サービス提供体制加算Ⅰ1）</t>
  </si>
  <si>
    <t>（予病院療短サービス提供体制加算Ⅰ2）</t>
  </si>
  <si>
    <t>（予病院療短サービス提供体制加算Ⅱ）</t>
  </si>
  <si>
    <t>（予病院療短サービス提供体制加算Ⅲ）</t>
  </si>
  <si>
    <t>（予防訪問入浴サービス提供体制加算Ⅰ1）</t>
  </si>
  <si>
    <t>（予防訪問入浴サービス提供体制加算Ⅰ2）</t>
  </si>
  <si>
    <t>（通所型独自サービス提供体制加算Ⅰ１１）</t>
  </si>
  <si>
    <t>（通所型独自サービス提供体制加算Ⅰ１２）</t>
  </si>
  <si>
    <t>（通所型独自サービス提供体制加算Ⅰ２１）</t>
  </si>
  <si>
    <t>（通所型独自サービス提供体制加算Ⅰ２２）</t>
  </si>
  <si>
    <t>（通所型独自サービス提供体制加算Ⅱ１）</t>
  </si>
  <si>
    <t>（通所型独自サービス提供体制加算Ⅱ２）</t>
  </si>
  <si>
    <t>事業対象者</t>
  </si>
  <si>
    <t>訪問型サービス合計</t>
  </si>
  <si>
    <t>訪問型独自サービス合計</t>
  </si>
  <si>
    <t>(市)訪問型サービス合計</t>
  </si>
  <si>
    <t>通所型サービス合計</t>
  </si>
  <si>
    <t>通所型独自サービス合計</t>
  </si>
  <si>
    <t>(市)通所型サービス合計</t>
  </si>
  <si>
    <t>（通所型サービス提供体制加算Ⅰ１２）</t>
  </si>
  <si>
    <t>（通所型サービス提供体制加算Ⅰ２１）</t>
  </si>
  <si>
    <t>（通所型サービス提供体制加算Ⅰ２２）</t>
  </si>
  <si>
    <t>（通所型サービス提供体制加算Ⅱ１）</t>
  </si>
  <si>
    <t>（通所型サービス提供体制加算Ⅱ２）</t>
  </si>
  <si>
    <t>（通所型サービス提供体制加算Ⅰ１１）</t>
  </si>
  <si>
    <t>処遇改善加算Ⅴ</t>
  </si>
  <si>
    <t>処遇改善加算Ⅲ</t>
  </si>
  <si>
    <t xml:space="preserve"> 割</t>
  </si>
  <si>
    <t>　　　　年　　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</si>
</sst>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#,##0_ "/>
    <numFmt numFmtId="178" formatCode="[$-411]ggge&quot;年&quot;m&quot;月&quot;&quot;分&quot;"/>
    <numFmt numFmtId="179" formatCode="[$-411]ggge&quot;年&quot;m&quot;月分&quot;"/>
    <numFmt numFmtId="180" formatCode="[$-411]ggge&quot;年&quot;m&quot;月&quot;d&quot;日&quot;;@"/>
    <numFmt numFmtId="181" formatCode="\(General\)"/>
    <numFmt numFmtId="182" formatCode="0.0%"/>
    <numFmt numFmtId="183" formatCode="\(#,##0\)"/>
    <numFmt numFmtId="184" formatCode="0;[Red]0"/>
    <numFmt numFmtId="185" formatCode="0_);[Red]\(0\)"/>
    <numFmt numFmtId="186" formatCode="\&amp;&quot;割&quot;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HGS創英角ｺﾞｼｯｸUB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name val="HGS創英角ﾎﾟｯﾌﾟ体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6"/>
      <name val="ＭＳ Ｐゴシック"/>
      <family val="3"/>
    </font>
    <font>
      <sz val="16"/>
      <name val="HGP創英角ﾎﾟｯﾌﾟ体"/>
      <family val="3"/>
    </font>
    <font>
      <sz val="16"/>
      <name val="ＭＳ 明朝"/>
      <family val="1"/>
    </font>
    <font>
      <sz val="26"/>
      <name val="HGS創英角ﾎﾟｯﾌﾟ体"/>
      <family val="3"/>
    </font>
    <font>
      <b/>
      <sz val="18"/>
      <name val="HGS創英角ﾎﾟｯﾌﾟ体"/>
      <family val="3"/>
    </font>
    <font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Times New Roman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40"/>
      <name val="ＭＳ Ｐゴシック"/>
      <family val="3"/>
    </font>
    <font>
      <sz val="12"/>
      <color indexed="4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Times New Roman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B0F0"/>
      <name val="ＭＳ Ｐゴシック"/>
      <family val="3"/>
    </font>
    <font>
      <sz val="12"/>
      <color rgb="FF00B0F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dotted"/>
      <right style="dotted"/>
      <top style="thin"/>
      <bottom style="hair"/>
    </border>
    <border>
      <left style="dotted"/>
      <right style="dotted"/>
      <top style="hair"/>
      <bottom/>
    </border>
    <border>
      <left style="dotted"/>
      <right style="dotted"/>
      <top style="hair"/>
      <bottom style="medium"/>
    </border>
    <border>
      <left style="dotted"/>
      <right style="thin"/>
      <top style="hair"/>
      <bottom style="medium"/>
    </border>
    <border>
      <left style="dotted"/>
      <right style="thin"/>
      <top style="hair"/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dotted"/>
      <top style="thin"/>
      <bottom style="hair"/>
    </border>
    <border>
      <left style="medium"/>
      <right/>
      <top/>
      <bottom style="thin"/>
    </border>
    <border>
      <left/>
      <right style="thin"/>
      <top style="hair"/>
      <bottom style="thin"/>
    </border>
    <border>
      <left style="thin"/>
      <right style="dotted"/>
      <top style="hair"/>
      <bottom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/>
      <right style="thin"/>
      <top style="hair"/>
      <bottom style="medium"/>
    </border>
    <border>
      <left style="thin"/>
      <right style="dotted"/>
      <top style="hair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 diagonalUp="1">
      <left style="thin"/>
      <right/>
      <top style="double"/>
      <bottom/>
      <diagonal style="thin"/>
    </border>
    <border diagonalUp="1">
      <left/>
      <right style="thin"/>
      <top style="double"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thin"/>
      <top/>
      <bottom style="medium"/>
      <diagonal style="thin"/>
    </border>
    <border>
      <left style="medium"/>
      <right/>
      <top style="double"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/>
      <bottom style="double"/>
    </border>
    <border>
      <left>
        <color indexed="63"/>
      </left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medium"/>
      <bottom/>
    </border>
    <border>
      <left style="thin"/>
      <right style="hair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22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31" fontId="14" fillId="0" borderId="0" xfId="0" applyNumberFormat="1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9" fontId="65" fillId="0" borderId="0" xfId="5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49" fontId="66" fillId="0" borderId="0" xfId="50" applyNumberFormat="1" applyFont="1" applyFill="1" applyBorder="1" applyAlignment="1" applyProtection="1">
      <alignment horizontal="right" vertical="center"/>
      <protection locked="0"/>
    </xf>
    <xf numFmtId="183" fontId="13" fillId="0" borderId="0" xfId="50" applyNumberFormat="1" applyFont="1" applyFill="1" applyBorder="1" applyAlignment="1" applyProtection="1">
      <alignment shrinkToFit="1"/>
      <protection locked="0"/>
    </xf>
    <xf numFmtId="183" fontId="13" fillId="0" borderId="16" xfId="50" applyNumberFormat="1" applyFont="1" applyFill="1" applyBorder="1" applyAlignment="1" applyProtection="1">
      <alignment shrinkToFit="1"/>
      <protection locked="0"/>
    </xf>
    <xf numFmtId="184" fontId="66" fillId="0" borderId="0" xfId="50" applyNumberFormat="1" applyFont="1" applyFill="1" applyBorder="1" applyAlignment="1" applyProtection="1">
      <alignment vertical="center"/>
      <protection locked="0"/>
    </xf>
    <xf numFmtId="49" fontId="66" fillId="0" borderId="0" xfId="50" applyNumberFormat="1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18" xfId="0" applyFont="1" applyFill="1" applyBorder="1" applyAlignment="1" applyProtection="1">
      <alignment vertical="center" shrinkToFit="1"/>
      <protection locked="0"/>
    </xf>
    <xf numFmtId="0" fontId="12" fillId="0" borderId="19" xfId="0" applyFont="1" applyFill="1" applyBorder="1" applyAlignment="1" applyProtection="1">
      <alignment vertical="center" shrinkToFit="1"/>
      <protection locked="0"/>
    </xf>
    <xf numFmtId="0" fontId="12" fillId="0" borderId="23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176" fontId="4" fillId="0" borderId="29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horizontal="center" vertical="center"/>
      <protection/>
    </xf>
    <xf numFmtId="176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17" xfId="50" applyNumberFormat="1" applyFont="1" applyFill="1" applyBorder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vertical="center" shrinkToFit="1"/>
      <protection locked="0"/>
    </xf>
    <xf numFmtId="0" fontId="12" fillId="0" borderId="34" xfId="0" applyFont="1" applyFill="1" applyBorder="1" applyAlignment="1" applyProtection="1">
      <alignment vertical="center" shrinkToFit="1"/>
      <protection locked="0"/>
    </xf>
    <xf numFmtId="0" fontId="12" fillId="0" borderId="11" xfId="0" applyFont="1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vertical="center" shrinkToFit="1"/>
      <protection locked="0"/>
    </xf>
    <xf numFmtId="0" fontId="12" fillId="0" borderId="37" xfId="0" applyFont="1" applyFill="1" applyBorder="1" applyAlignment="1" applyProtection="1">
      <alignment vertical="center" shrinkToFit="1"/>
      <protection locked="0"/>
    </xf>
    <xf numFmtId="0" fontId="12" fillId="0" borderId="12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2" fillId="0" borderId="38" xfId="0" applyFont="1" applyFill="1" applyBorder="1" applyAlignment="1" applyProtection="1">
      <alignment vertical="center" shrinkToFit="1"/>
      <protection locked="0"/>
    </xf>
    <xf numFmtId="0" fontId="12" fillId="0" borderId="39" xfId="0" applyFont="1" applyFill="1" applyBorder="1" applyAlignment="1" applyProtection="1">
      <alignment vertical="center" shrinkToFit="1"/>
      <protection locked="0"/>
    </xf>
    <xf numFmtId="0" fontId="12" fillId="0" borderId="40" xfId="0" applyFont="1" applyFill="1" applyBorder="1" applyAlignment="1" applyProtection="1">
      <alignment vertical="center" shrinkToFit="1"/>
      <protection locked="0"/>
    </xf>
    <xf numFmtId="0" fontId="12" fillId="0" borderId="41" xfId="0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 applyProtection="1">
      <alignment vertical="center"/>
      <protection locked="0"/>
    </xf>
    <xf numFmtId="38" fontId="0" fillId="0" borderId="0" xfId="50" applyFont="1" applyFill="1" applyAlignment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8" fontId="0" fillId="0" borderId="0" xfId="50" applyFont="1" applyFill="1" applyBorder="1" applyAlignment="1" applyProtection="1">
      <alignment vertical="center"/>
      <protection/>
    </xf>
    <xf numFmtId="183" fontId="0" fillId="0" borderId="0" xfId="0" applyNumberFormat="1" applyFill="1" applyAlignment="1" applyProtection="1">
      <alignment vertical="center"/>
      <protection/>
    </xf>
    <xf numFmtId="0" fontId="0" fillId="0" borderId="17" xfId="5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0" xfId="50" applyNumberFormat="1" applyFont="1" applyFill="1" applyBorder="1" applyAlignment="1" applyProtection="1">
      <alignment vertical="center"/>
      <protection/>
    </xf>
    <xf numFmtId="14" fontId="0" fillId="0" borderId="0" xfId="0" applyNumberFormat="1" applyFill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vertical="center"/>
      <protection locked="0"/>
    </xf>
    <xf numFmtId="184" fontId="16" fillId="0" borderId="17" xfId="5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0" fillId="0" borderId="42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 locked="0"/>
    </xf>
    <xf numFmtId="182" fontId="0" fillId="0" borderId="17" xfId="42" applyNumberFormat="1" applyFont="1" applyFill="1" applyBorder="1" applyAlignment="1" applyProtection="1" quotePrefix="1">
      <alignment vertical="center"/>
      <protection/>
    </xf>
    <xf numFmtId="182" fontId="0" fillId="0" borderId="42" xfId="42" applyNumberFormat="1" applyFont="1" applyFill="1" applyBorder="1" applyAlignment="1" applyProtection="1" quotePrefix="1">
      <alignment vertical="center"/>
      <protection/>
    </xf>
    <xf numFmtId="182" fontId="0" fillId="0" borderId="25" xfId="42" applyNumberFormat="1" applyFont="1" applyFill="1" applyBorder="1" applyAlignment="1" applyProtection="1" quotePrefix="1">
      <alignment vertical="center"/>
      <protection/>
    </xf>
    <xf numFmtId="182" fontId="0" fillId="0" borderId="0" xfId="42" applyNumberFormat="1" applyFont="1" applyFill="1" applyBorder="1" applyAlignment="1" applyProtection="1" quotePrefix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82" fontId="0" fillId="0" borderId="17" xfId="42" applyNumberFormat="1" applyFont="1" applyFill="1" applyBorder="1" applyAlignment="1" applyProtection="1">
      <alignment vertical="center"/>
      <protection/>
    </xf>
    <xf numFmtId="182" fontId="0" fillId="0" borderId="42" xfId="42" applyNumberFormat="1" applyFont="1" applyFill="1" applyBorder="1" applyAlignment="1" applyProtection="1">
      <alignment vertical="center"/>
      <protection/>
    </xf>
    <xf numFmtId="182" fontId="0" fillId="0" borderId="25" xfId="42" applyNumberFormat="1" applyFont="1" applyFill="1" applyBorder="1" applyAlignment="1" applyProtection="1">
      <alignment vertical="center"/>
      <protection/>
    </xf>
    <xf numFmtId="182" fontId="0" fillId="0" borderId="0" xfId="42" applyNumberFormat="1" applyFont="1" applyFill="1" applyBorder="1" applyAlignment="1" applyProtection="1">
      <alignment vertical="center"/>
      <protection/>
    </xf>
    <xf numFmtId="182" fontId="0" fillId="0" borderId="0" xfId="42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7" xfId="42" applyNumberFormat="1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vertical="center"/>
      <protection locked="0"/>
    </xf>
    <xf numFmtId="0" fontId="67" fillId="0" borderId="17" xfId="0" applyFont="1" applyFill="1" applyBorder="1" applyAlignment="1" applyProtection="1">
      <alignment vertical="center"/>
      <protection locked="0"/>
    </xf>
    <xf numFmtId="38" fontId="67" fillId="0" borderId="17" xfId="52" applyNumberFormat="1" applyFont="1" applyFill="1" applyBorder="1" applyAlignment="1" applyProtection="1">
      <alignment horizontal="right" vertical="center"/>
      <protection locked="0"/>
    </xf>
    <xf numFmtId="177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81" fontId="0" fillId="0" borderId="0" xfId="0" applyNumberForma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83" fontId="13" fillId="0" borderId="51" xfId="50" applyNumberFormat="1" applyFont="1" applyFill="1" applyBorder="1" applyAlignment="1" applyProtection="1">
      <alignment shrinkToFit="1"/>
      <protection/>
    </xf>
    <xf numFmtId="183" fontId="13" fillId="0" borderId="26" xfId="50" applyNumberFormat="1" applyFont="1" applyFill="1" applyBorder="1" applyAlignment="1" applyProtection="1">
      <alignment shrinkToFit="1"/>
      <protection/>
    </xf>
    <xf numFmtId="183" fontId="13" fillId="0" borderId="52" xfId="50" applyNumberFormat="1" applyFont="1" applyFill="1" applyBorder="1" applyAlignment="1" applyProtection="1">
      <alignment shrinkToFit="1"/>
      <protection/>
    </xf>
    <xf numFmtId="183" fontId="18" fillId="0" borderId="51" xfId="0" applyNumberFormat="1" applyFont="1" applyFill="1" applyBorder="1" applyAlignment="1" applyProtection="1">
      <alignment vertical="center" shrinkToFit="1"/>
      <protection/>
    </xf>
    <xf numFmtId="183" fontId="18" fillId="0" borderId="50" xfId="0" applyNumberFormat="1" applyFont="1" applyFill="1" applyBorder="1" applyAlignment="1" applyProtection="1">
      <alignment vertical="center" shrinkToFit="1"/>
      <protection/>
    </xf>
    <xf numFmtId="177" fontId="0" fillId="0" borderId="46" xfId="0" applyNumberForma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center"/>
    </xf>
    <xf numFmtId="177" fontId="18" fillId="0" borderId="46" xfId="0" applyNumberFormat="1" applyFont="1" applyFill="1" applyBorder="1" applyAlignment="1" applyProtection="1">
      <alignment vertical="center"/>
      <protection/>
    </xf>
    <xf numFmtId="0" fontId="18" fillId="0" borderId="46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6" fillId="0" borderId="17" xfId="0" applyFont="1" applyFill="1" applyBorder="1" applyAlignment="1" applyProtection="1">
      <alignment vertical="center" wrapText="1"/>
      <protection locked="0"/>
    </xf>
    <xf numFmtId="177" fontId="18" fillId="0" borderId="53" xfId="50" applyNumberFormat="1" applyFont="1" applyFill="1" applyBorder="1" applyAlignment="1" applyProtection="1">
      <alignment horizontal="right" shrinkToFit="1"/>
      <protection/>
    </xf>
    <xf numFmtId="177" fontId="18" fillId="0" borderId="54" xfId="50" applyNumberFormat="1" applyFont="1" applyFill="1" applyBorder="1" applyAlignment="1" applyProtection="1">
      <alignment horizontal="right" shrinkToFit="1"/>
      <protection/>
    </xf>
    <xf numFmtId="177" fontId="18" fillId="0" borderId="55" xfId="50" applyNumberFormat="1" applyFont="1" applyFill="1" applyBorder="1" applyAlignment="1" applyProtection="1">
      <alignment horizontal="right" shrinkToFit="1"/>
      <protection/>
    </xf>
    <xf numFmtId="0" fontId="18" fillId="0" borderId="53" xfId="0" applyFont="1" applyFill="1" applyBorder="1" applyAlignment="1" applyProtection="1">
      <alignment vertical="center" shrinkToFit="1"/>
      <protection/>
    </xf>
    <xf numFmtId="0" fontId="18" fillId="0" borderId="56" xfId="0" applyFont="1" applyFill="1" applyBorder="1" applyAlignment="1" applyProtection="1">
      <alignment vertical="center" shrinkToFit="1"/>
      <protection/>
    </xf>
    <xf numFmtId="38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0" fillId="0" borderId="52" xfId="0" applyFill="1" applyBorder="1" applyAlignment="1" applyProtection="1">
      <alignment horizontal="center" vertical="center" shrinkToFit="1"/>
      <protection/>
    </xf>
    <xf numFmtId="0" fontId="18" fillId="0" borderId="51" xfId="0" applyFont="1" applyFill="1" applyBorder="1" applyAlignment="1" applyProtection="1">
      <alignment horizontal="right" vertical="center" shrinkToFit="1"/>
      <protection/>
    </xf>
    <xf numFmtId="0" fontId="18" fillId="0" borderId="52" xfId="0" applyFont="1" applyFill="1" applyBorder="1" applyAlignment="1" applyProtection="1">
      <alignment horizontal="right" vertical="center" shrinkToFit="1"/>
      <protection/>
    </xf>
    <xf numFmtId="183" fontId="18" fillId="0" borderId="51" xfId="0" applyNumberFormat="1" applyFont="1" applyFill="1" applyBorder="1" applyAlignment="1" applyProtection="1">
      <alignment horizontal="right" vertical="center" shrinkToFit="1"/>
      <protection/>
    </xf>
    <xf numFmtId="183" fontId="18" fillId="0" borderId="52" xfId="0" applyNumberFormat="1" applyFont="1" applyFill="1" applyBorder="1" applyAlignment="1" applyProtection="1">
      <alignment horizontal="right" vertical="center" shrinkToFit="1"/>
      <protection/>
    </xf>
    <xf numFmtId="183" fontId="0" fillId="0" borderId="26" xfId="0" applyNumberFormat="1" applyFill="1" applyBorder="1" applyAlignment="1" applyProtection="1">
      <alignment vertical="center" shrinkToFit="1"/>
      <protection/>
    </xf>
    <xf numFmtId="183" fontId="0" fillId="0" borderId="52" xfId="0" applyNumberFormat="1" applyFill="1" applyBorder="1" applyAlignment="1" applyProtection="1">
      <alignment vertical="center" shrinkToFit="1"/>
      <protection/>
    </xf>
    <xf numFmtId="0" fontId="18" fillId="0" borderId="53" xfId="0" applyFont="1" applyFill="1" applyBorder="1" applyAlignment="1" applyProtection="1">
      <alignment horizontal="right" shrinkToFit="1"/>
      <protection/>
    </xf>
    <xf numFmtId="0" fontId="18" fillId="0" borderId="55" xfId="0" applyFont="1" applyFill="1" applyBorder="1" applyAlignment="1" applyProtection="1">
      <alignment horizontal="right" shrinkToFit="1"/>
      <protection/>
    </xf>
    <xf numFmtId="38" fontId="18" fillId="0" borderId="53" xfId="0" applyNumberFormat="1" applyFont="1" applyFill="1" applyBorder="1" applyAlignment="1" applyProtection="1">
      <alignment horizontal="right" vertical="center" shrinkToFit="1"/>
      <protection/>
    </xf>
    <xf numFmtId="0" fontId="0" fillId="0" borderId="54" xfId="0" applyFill="1" applyBorder="1" applyAlignment="1" applyProtection="1">
      <alignment vertical="center" shrinkToFit="1"/>
      <protection/>
    </xf>
    <xf numFmtId="0" fontId="0" fillId="0" borderId="55" xfId="0" applyFill="1" applyBorder="1" applyAlignment="1" applyProtection="1">
      <alignment vertical="center" shrinkToFit="1"/>
      <protection/>
    </xf>
    <xf numFmtId="40" fontId="18" fillId="0" borderId="57" xfId="50" applyNumberFormat="1" applyFont="1" applyFill="1" applyBorder="1" applyAlignment="1" applyProtection="1">
      <alignment horizontal="right" vertical="center" shrinkToFit="1"/>
      <protection/>
    </xf>
    <xf numFmtId="40" fontId="18" fillId="0" borderId="58" xfId="50" applyNumberFormat="1" applyFont="1" applyFill="1" applyBorder="1" applyAlignment="1" applyProtection="1">
      <alignment horizontal="right" vertical="center" shrinkToFit="1"/>
      <protection/>
    </xf>
    <xf numFmtId="40" fontId="18" fillId="0" borderId="59" xfId="50" applyNumberFormat="1" applyFont="1" applyFill="1" applyBorder="1" applyAlignment="1" applyProtection="1">
      <alignment horizontal="right" vertical="center" shrinkToFit="1"/>
      <protection/>
    </xf>
    <xf numFmtId="40" fontId="18" fillId="0" borderId="60" xfId="50" applyNumberFormat="1" applyFont="1" applyFill="1" applyBorder="1" applyAlignment="1" applyProtection="1">
      <alignment horizontal="right" vertical="center" shrinkToFit="1"/>
      <protection/>
    </xf>
    <xf numFmtId="9" fontId="18" fillId="0" borderId="57" xfId="42" applyFont="1" applyFill="1" applyBorder="1" applyAlignment="1" applyProtection="1">
      <alignment horizontal="right" vertical="center" shrinkToFit="1"/>
      <protection/>
    </xf>
    <xf numFmtId="9" fontId="18" fillId="0" borderId="58" xfId="42" applyFont="1" applyFill="1" applyBorder="1" applyAlignment="1" applyProtection="1">
      <alignment horizontal="right" vertical="center" shrinkToFit="1"/>
      <protection/>
    </xf>
    <xf numFmtId="9" fontId="18" fillId="0" borderId="59" xfId="42" applyFont="1" applyFill="1" applyBorder="1" applyAlignment="1" applyProtection="1">
      <alignment horizontal="right" vertical="center" shrinkToFit="1"/>
      <protection/>
    </xf>
    <xf numFmtId="9" fontId="18" fillId="0" borderId="60" xfId="42" applyFont="1" applyFill="1" applyBorder="1" applyAlignment="1" applyProtection="1">
      <alignment horizontal="right" vertical="center" shrinkToFit="1"/>
      <protection/>
    </xf>
    <xf numFmtId="0" fontId="0" fillId="0" borderId="61" xfId="0" applyFill="1" applyBorder="1" applyAlignment="1" applyProtection="1">
      <alignment horizontal="center" vertical="center" shrinkToFit="1"/>
      <protection/>
    </xf>
    <xf numFmtId="0" fontId="0" fillId="0" borderId="54" xfId="0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 applyProtection="1">
      <alignment horizontal="center" vertical="center" shrinkToFit="1"/>
      <protection/>
    </xf>
    <xf numFmtId="38" fontId="18" fillId="0" borderId="53" xfId="50" applyFont="1" applyFill="1" applyBorder="1" applyAlignment="1" applyProtection="1">
      <alignment vertical="center" shrinkToFit="1"/>
      <protection/>
    </xf>
    <xf numFmtId="38" fontId="18" fillId="0" borderId="54" xfId="50" applyFont="1" applyFill="1" applyBorder="1" applyAlignment="1" applyProtection="1">
      <alignment vertical="center" shrinkToFit="1"/>
      <protection/>
    </xf>
    <xf numFmtId="38" fontId="18" fillId="0" borderId="55" xfId="50" applyFont="1" applyFill="1" applyBorder="1" applyAlignment="1" applyProtection="1">
      <alignment vertical="center" shrinkToFit="1"/>
      <protection/>
    </xf>
    <xf numFmtId="38" fontId="18" fillId="0" borderId="51" xfId="50" applyFont="1" applyFill="1" applyBorder="1" applyAlignment="1" applyProtection="1">
      <alignment vertical="center" shrinkToFit="1"/>
      <protection/>
    </xf>
    <xf numFmtId="38" fontId="18" fillId="0" borderId="26" xfId="50" applyFont="1" applyFill="1" applyBorder="1" applyAlignment="1" applyProtection="1">
      <alignment vertical="center" shrinkToFit="1"/>
      <protection/>
    </xf>
    <xf numFmtId="38" fontId="18" fillId="0" borderId="52" xfId="50" applyFont="1" applyFill="1" applyBorder="1" applyAlignment="1" applyProtection="1">
      <alignment vertical="center" shrinkToFit="1"/>
      <protection/>
    </xf>
    <xf numFmtId="0" fontId="18" fillId="0" borderId="62" xfId="0" applyFont="1" applyFill="1" applyBorder="1" applyAlignment="1" applyProtection="1">
      <alignment horizontal="center" vertical="center" shrinkToFit="1"/>
      <protection/>
    </xf>
    <xf numFmtId="0" fontId="18" fillId="0" borderId="63" xfId="0" applyFont="1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5" xfId="0" applyFill="1" applyBorder="1" applyAlignment="1">
      <alignment vertical="center"/>
    </xf>
    <xf numFmtId="3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8" fillId="0" borderId="35" xfId="0" applyFont="1" applyFill="1" applyBorder="1" applyAlignment="1" applyProtection="1">
      <alignment horizontal="center" vertical="center" shrinkToFit="1"/>
      <protection locked="0"/>
    </xf>
    <xf numFmtId="0" fontId="18" fillId="0" borderId="64" xfId="0" applyFont="1" applyFill="1" applyBorder="1" applyAlignment="1" applyProtection="1">
      <alignment horizontal="center" vertical="center" shrinkToFit="1"/>
      <protection locked="0"/>
    </xf>
    <xf numFmtId="0" fontId="18" fillId="0" borderId="65" xfId="0" applyFont="1" applyFill="1" applyBorder="1" applyAlignment="1" applyProtection="1">
      <alignment horizontal="center" vertical="center" shrinkToFit="1"/>
      <protection locked="0"/>
    </xf>
    <xf numFmtId="183" fontId="13" fillId="0" borderId="66" xfId="50" applyNumberFormat="1" applyFont="1" applyFill="1" applyBorder="1" applyAlignment="1" applyProtection="1">
      <alignment shrinkToFit="1"/>
      <protection locked="0"/>
    </xf>
    <xf numFmtId="183" fontId="13" fillId="0" borderId="65" xfId="50" applyNumberFormat="1" applyFont="1" applyFill="1" applyBorder="1" applyAlignment="1" applyProtection="1">
      <alignment shrinkToFit="1"/>
      <protection locked="0"/>
    </xf>
    <xf numFmtId="183" fontId="18" fillId="0" borderId="66" xfId="0" applyNumberFormat="1" applyFont="1" applyFill="1" applyBorder="1" applyAlignment="1" applyProtection="1">
      <alignment vertical="center" shrinkToFit="1"/>
      <protection/>
    </xf>
    <xf numFmtId="183" fontId="18" fillId="0" borderId="65" xfId="0" applyNumberFormat="1" applyFont="1" applyFill="1" applyBorder="1" applyAlignment="1" applyProtection="1">
      <alignment vertical="center" shrinkToFit="1"/>
      <protection/>
    </xf>
    <xf numFmtId="183" fontId="18" fillId="0" borderId="66" xfId="0" applyNumberFormat="1" applyFont="1" applyFill="1" applyBorder="1" applyAlignment="1" applyProtection="1">
      <alignment vertical="center" shrinkToFit="1"/>
      <protection locked="0"/>
    </xf>
    <xf numFmtId="183" fontId="18" fillId="0" borderId="64" xfId="0" applyNumberFormat="1" applyFont="1" applyFill="1" applyBorder="1" applyAlignment="1" applyProtection="1">
      <alignment vertical="center" shrinkToFit="1"/>
      <protection locked="0"/>
    </xf>
    <xf numFmtId="183" fontId="18" fillId="0" borderId="65" xfId="0" applyNumberFormat="1" applyFont="1" applyFill="1" applyBorder="1" applyAlignment="1" applyProtection="1">
      <alignment vertical="center" shrinkToFit="1"/>
      <protection locked="0"/>
    </xf>
    <xf numFmtId="183" fontId="13" fillId="0" borderId="64" xfId="50" applyNumberFormat="1" applyFont="1" applyFill="1" applyBorder="1" applyAlignment="1" applyProtection="1">
      <alignment shrinkToFit="1"/>
      <protection locked="0"/>
    </xf>
    <xf numFmtId="38" fontId="0" fillId="0" borderId="17" xfId="0" applyNumberFormat="1" applyFill="1" applyBorder="1" applyAlignment="1" applyProtection="1">
      <alignment vertical="center"/>
      <protection/>
    </xf>
    <xf numFmtId="177" fontId="0" fillId="0" borderId="43" xfId="0" applyNumberFormat="1" applyFill="1" applyBorder="1" applyAlignment="1" applyProtection="1">
      <alignment vertical="center"/>
      <protection/>
    </xf>
    <xf numFmtId="177" fontId="0" fillId="0" borderId="44" xfId="0" applyNumberFormat="1" applyFill="1" applyBorder="1" applyAlignment="1" applyProtection="1">
      <alignment vertical="center"/>
      <protection/>
    </xf>
    <xf numFmtId="38" fontId="0" fillId="0" borderId="43" xfId="50" applyFont="1" applyFill="1" applyBorder="1" applyAlignment="1" applyProtection="1">
      <alignment vertical="center" wrapText="1"/>
      <protection/>
    </xf>
    <xf numFmtId="38" fontId="0" fillId="0" borderId="44" xfId="5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183" fontId="0" fillId="0" borderId="43" xfId="0" applyNumberFormat="1" applyFill="1" applyBorder="1" applyAlignment="1" applyProtection="1">
      <alignment vertical="center"/>
      <protection/>
    </xf>
    <xf numFmtId="0" fontId="18" fillId="0" borderId="67" xfId="0" applyFont="1" applyFill="1" applyBorder="1" applyAlignment="1" applyProtection="1">
      <alignment vertical="center" shrinkToFit="1"/>
      <protection locked="0"/>
    </xf>
    <xf numFmtId="0" fontId="0" fillId="0" borderId="68" xfId="0" applyFill="1" applyBorder="1" applyAlignment="1" applyProtection="1">
      <alignment vertical="center"/>
      <protection locked="0"/>
    </xf>
    <xf numFmtId="38" fontId="0" fillId="0" borderId="17" xfId="0" applyNumberFormat="1" applyFill="1" applyBorder="1" applyAlignment="1">
      <alignment vertical="center"/>
    </xf>
    <xf numFmtId="38" fontId="18" fillId="0" borderId="17" xfId="50" applyNumberFormat="1" applyFont="1" applyFill="1" applyBorder="1" applyAlignment="1" applyProtection="1">
      <alignment vertical="center"/>
      <protection locked="0"/>
    </xf>
    <xf numFmtId="183" fontId="0" fillId="0" borderId="69" xfId="0" applyNumberFormat="1" applyFill="1" applyBorder="1" applyAlignment="1" applyProtection="1">
      <alignment vertical="center"/>
      <protection locked="0"/>
    </xf>
    <xf numFmtId="38" fontId="18" fillId="0" borderId="67" xfId="0" applyNumberFormat="1" applyFont="1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40" fontId="18" fillId="0" borderId="67" xfId="50" applyNumberFormat="1" applyFont="1" applyFill="1" applyBorder="1" applyAlignment="1" applyProtection="1">
      <alignment vertical="center" shrinkToFit="1"/>
      <protection locked="0"/>
    </xf>
    <xf numFmtId="40" fontId="18" fillId="0" borderId="28" xfId="50" applyNumberFormat="1" applyFont="1" applyFill="1" applyBorder="1" applyAlignment="1" applyProtection="1">
      <alignment vertical="center" shrinkToFit="1"/>
      <protection locked="0"/>
    </xf>
    <xf numFmtId="40" fontId="18" fillId="0" borderId="70" xfId="50" applyNumberFormat="1" applyFont="1" applyFill="1" applyBorder="1" applyAlignment="1" applyProtection="1">
      <alignment vertical="center" shrinkToFit="1"/>
      <protection locked="0"/>
    </xf>
    <xf numFmtId="40" fontId="18" fillId="0" borderId="71" xfId="50" applyNumberFormat="1" applyFont="1" applyFill="1" applyBorder="1" applyAlignment="1" applyProtection="1">
      <alignment vertical="center" shrinkToFit="1"/>
      <protection locked="0"/>
    </xf>
    <xf numFmtId="38" fontId="18" fillId="0" borderId="67" xfId="50" applyFont="1" applyFill="1" applyBorder="1" applyAlignment="1" applyProtection="1">
      <alignment horizontal="right" shrinkToFit="1"/>
      <protection locked="0"/>
    </xf>
    <xf numFmtId="38" fontId="18" fillId="0" borderId="24" xfId="50" applyFont="1" applyFill="1" applyBorder="1" applyAlignment="1" applyProtection="1">
      <alignment horizontal="right" shrinkToFit="1"/>
      <protection locked="0"/>
    </xf>
    <xf numFmtId="38" fontId="18" fillId="0" borderId="28" xfId="50" applyFont="1" applyFill="1" applyBorder="1" applyAlignment="1" applyProtection="1">
      <alignment horizontal="right" shrinkToFit="1"/>
      <protection locked="0"/>
    </xf>
    <xf numFmtId="9" fontId="18" fillId="0" borderId="67" xfId="42" applyFont="1" applyFill="1" applyBorder="1" applyAlignment="1" applyProtection="1">
      <alignment vertical="center" shrinkToFit="1"/>
      <protection locked="0"/>
    </xf>
    <xf numFmtId="9" fontId="18" fillId="0" borderId="28" xfId="42" applyFont="1" applyFill="1" applyBorder="1" applyAlignment="1" applyProtection="1">
      <alignment vertical="center" shrinkToFit="1"/>
      <protection locked="0"/>
    </xf>
    <xf numFmtId="9" fontId="18" fillId="0" borderId="66" xfId="42" applyFont="1" applyFill="1" applyBorder="1" applyAlignment="1" applyProtection="1">
      <alignment vertical="center" shrinkToFit="1"/>
      <protection locked="0"/>
    </xf>
    <xf numFmtId="9" fontId="18" fillId="0" borderId="65" xfId="42" applyFont="1" applyFill="1" applyBorder="1" applyAlignment="1" applyProtection="1">
      <alignment vertical="center" shrinkToFit="1"/>
      <protection locked="0"/>
    </xf>
    <xf numFmtId="183" fontId="13" fillId="0" borderId="25" xfId="50" applyNumberFormat="1" applyFont="1" applyFill="1" applyBorder="1" applyAlignment="1" applyProtection="1">
      <alignment shrinkToFit="1"/>
      <protection locked="0"/>
    </xf>
    <xf numFmtId="183" fontId="13" fillId="0" borderId="0" xfId="50" applyNumberFormat="1" applyFont="1" applyFill="1" applyBorder="1" applyAlignment="1" applyProtection="1">
      <alignment shrinkToFit="1"/>
      <protection locked="0"/>
    </xf>
    <xf numFmtId="183" fontId="13" fillId="0" borderId="72" xfId="50" applyNumberFormat="1" applyFont="1" applyFill="1" applyBorder="1" applyAlignment="1" applyProtection="1">
      <alignment shrinkToFit="1"/>
      <protection locked="0"/>
    </xf>
    <xf numFmtId="0" fontId="18" fillId="0" borderId="17" xfId="0" applyFont="1" applyFill="1" applyBorder="1" applyAlignment="1" applyProtection="1">
      <alignment vertical="center" shrinkToFit="1"/>
      <protection locked="0"/>
    </xf>
    <xf numFmtId="177" fontId="18" fillId="0" borderId="67" xfId="50" applyNumberFormat="1" applyFont="1" applyFill="1" applyBorder="1" applyAlignment="1" applyProtection="1">
      <alignment horizontal="right" shrinkToFit="1"/>
      <protection locked="0"/>
    </xf>
    <xf numFmtId="177" fontId="18" fillId="0" borderId="28" xfId="50" applyNumberFormat="1" applyFont="1" applyFill="1" applyBorder="1" applyAlignment="1" applyProtection="1">
      <alignment horizontal="right" shrinkToFit="1"/>
      <protection locked="0"/>
    </xf>
    <xf numFmtId="0" fontId="18" fillId="0" borderId="73" xfId="0" applyFont="1" applyFill="1" applyBorder="1" applyAlignment="1" applyProtection="1">
      <alignment shrinkToFit="1"/>
      <protection locked="0"/>
    </xf>
    <xf numFmtId="0" fontId="18" fillId="0" borderId="24" xfId="0" applyFont="1" applyFill="1" applyBorder="1" applyAlignment="1" applyProtection="1">
      <alignment shrinkToFit="1"/>
      <protection locked="0"/>
    </xf>
    <xf numFmtId="0" fontId="18" fillId="0" borderId="28" xfId="0" applyFont="1" applyFill="1" applyBorder="1" applyAlignment="1" applyProtection="1">
      <alignment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38" fontId="18" fillId="0" borderId="17" xfId="50" applyFont="1" applyFill="1" applyBorder="1" applyAlignment="1" applyProtection="1">
      <alignment horizontal="right" vertical="center" shrinkToFit="1"/>
      <protection locked="0"/>
    </xf>
    <xf numFmtId="38" fontId="0" fillId="0" borderId="43" xfId="50" applyFont="1" applyFill="1" applyBorder="1" applyAlignment="1" applyProtection="1">
      <alignment vertical="center"/>
      <protection/>
    </xf>
    <xf numFmtId="40" fontId="18" fillId="0" borderId="66" xfId="50" applyNumberFormat="1" applyFont="1" applyFill="1" applyBorder="1" applyAlignment="1" applyProtection="1">
      <alignment vertical="center" shrinkToFit="1"/>
      <protection locked="0"/>
    </xf>
    <xf numFmtId="40" fontId="18" fillId="0" borderId="65" xfId="50" applyNumberFormat="1" applyFont="1" applyFill="1" applyBorder="1" applyAlignment="1" applyProtection="1">
      <alignment vertical="center" shrinkToFit="1"/>
      <protection locked="0"/>
    </xf>
    <xf numFmtId="183" fontId="0" fillId="0" borderId="65" xfId="0" applyNumberFormat="1" applyFill="1" applyBorder="1" applyAlignment="1" applyProtection="1">
      <alignment vertical="center" shrinkToFit="1"/>
      <protection/>
    </xf>
    <xf numFmtId="38" fontId="0" fillId="0" borderId="17" xfId="50" applyNumberFormat="1" applyFont="1" applyFill="1" applyBorder="1" applyAlignment="1" applyProtection="1">
      <alignment vertical="center"/>
      <protection locked="0"/>
    </xf>
    <xf numFmtId="38" fontId="0" fillId="0" borderId="17" xfId="0" applyNumberFormat="1" applyFont="1" applyFill="1" applyBorder="1" applyAlignment="1">
      <alignment vertical="center"/>
    </xf>
    <xf numFmtId="0" fontId="2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7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76" xfId="0" applyFont="1" applyFill="1" applyBorder="1" applyAlignment="1" applyProtection="1">
      <alignment horizontal="center" vertical="center" wrapText="1"/>
      <protection locked="0"/>
    </xf>
    <xf numFmtId="0" fontId="8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 wrapText="1" shrinkToFit="1"/>
      <protection locked="0"/>
    </xf>
    <xf numFmtId="0" fontId="3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74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74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38" fontId="3" fillId="0" borderId="74" xfId="50" applyFont="1" applyFill="1" applyBorder="1" applyAlignment="1" applyProtection="1">
      <alignment horizontal="center" vertical="center" wrapText="1"/>
      <protection locked="0"/>
    </xf>
    <xf numFmtId="38" fontId="3" fillId="0" borderId="17" xfId="5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23" fillId="0" borderId="73" xfId="0" applyFont="1" applyFill="1" applyBorder="1" applyAlignment="1" applyProtection="1">
      <alignment horizontal="left" vertical="center" wrapText="1" shrinkToFit="1"/>
      <protection locked="0"/>
    </xf>
    <xf numFmtId="0" fontId="23" fillId="0" borderId="24" xfId="0" applyFont="1" applyFill="1" applyBorder="1" applyAlignment="1" applyProtection="1">
      <alignment horizontal="left" vertical="center" wrapText="1" shrinkToFit="1"/>
      <protection locked="0"/>
    </xf>
    <xf numFmtId="0" fontId="23" fillId="0" borderId="28" xfId="0" applyFont="1" applyFill="1" applyBorder="1" applyAlignment="1" applyProtection="1">
      <alignment horizontal="left" vertical="center" wrapText="1" shrinkToFit="1"/>
      <protection locked="0"/>
    </xf>
    <xf numFmtId="0" fontId="23" fillId="0" borderId="35" xfId="0" applyFont="1" applyFill="1" applyBorder="1" applyAlignment="1" applyProtection="1">
      <alignment horizontal="left" vertical="center" wrapText="1" shrinkToFit="1"/>
      <protection locked="0"/>
    </xf>
    <xf numFmtId="0" fontId="23" fillId="0" borderId="64" xfId="0" applyFont="1" applyFill="1" applyBorder="1" applyAlignment="1" applyProtection="1">
      <alignment horizontal="left" vertical="center" wrapText="1" shrinkToFit="1"/>
      <protection locked="0"/>
    </xf>
    <xf numFmtId="0" fontId="23" fillId="0" borderId="65" xfId="0" applyFont="1" applyFill="1" applyBorder="1" applyAlignment="1" applyProtection="1">
      <alignment horizontal="left" vertical="center" wrapText="1" shrinkToFit="1"/>
      <protection locked="0"/>
    </xf>
    <xf numFmtId="0" fontId="13" fillId="0" borderId="77" xfId="0" applyFont="1" applyFill="1" applyBorder="1" applyAlignment="1" applyProtection="1">
      <alignment horizontal="center" vertical="center" shrinkToFit="1"/>
      <protection locked="0"/>
    </xf>
    <xf numFmtId="0" fontId="13" fillId="0" borderId="78" xfId="0" applyFont="1" applyFill="1" applyBorder="1" applyAlignment="1" applyProtection="1">
      <alignment horizontal="center" vertical="center" shrinkToFit="1"/>
      <protection locked="0"/>
    </xf>
    <xf numFmtId="0" fontId="13" fillId="0" borderId="79" xfId="0" applyFont="1" applyFill="1" applyBorder="1" applyAlignment="1" applyProtection="1">
      <alignment horizontal="center" vertical="center" shrinkToFit="1"/>
      <protection locked="0"/>
    </xf>
    <xf numFmtId="0" fontId="12" fillId="0" borderId="80" xfId="0" applyFont="1" applyFill="1" applyBorder="1" applyAlignment="1" applyProtection="1">
      <alignment horizontal="right" vertical="center"/>
      <protection locked="0"/>
    </xf>
    <xf numFmtId="0" fontId="0" fillId="0" borderId="81" xfId="0" applyFill="1" applyBorder="1" applyAlignment="1" applyProtection="1">
      <alignment horizontal="right" vertical="center"/>
      <protection locked="0"/>
    </xf>
    <xf numFmtId="0" fontId="13" fillId="0" borderId="82" xfId="0" applyFont="1" applyFill="1" applyBorder="1" applyAlignment="1" applyProtection="1">
      <alignment horizontal="center" vertical="center" shrinkToFit="1"/>
      <protection/>
    </xf>
    <xf numFmtId="0" fontId="13" fillId="0" borderId="83" xfId="0" applyFont="1" applyFill="1" applyBorder="1" applyAlignment="1" applyProtection="1">
      <alignment horizontal="center" vertical="center" shrinkToFit="1"/>
      <protection/>
    </xf>
    <xf numFmtId="0" fontId="13" fillId="0" borderId="84" xfId="0" applyFont="1" applyFill="1" applyBorder="1" applyAlignment="1" applyProtection="1">
      <alignment horizontal="center" vertical="center" shrinkToFit="1"/>
      <protection/>
    </xf>
    <xf numFmtId="0" fontId="12" fillId="0" borderId="85" xfId="0" applyFont="1" applyFill="1" applyBorder="1" applyAlignment="1" applyProtection="1">
      <alignment horizontal="right" vertical="center"/>
      <protection locked="0"/>
    </xf>
    <xf numFmtId="0" fontId="12" fillId="0" borderId="86" xfId="0" applyFont="1" applyFill="1" applyBorder="1" applyAlignment="1" applyProtection="1">
      <alignment horizontal="right" vertical="center"/>
      <protection locked="0"/>
    </xf>
    <xf numFmtId="0" fontId="0" fillId="0" borderId="87" xfId="0" applyFill="1" applyBorder="1" applyAlignment="1" applyProtection="1">
      <alignment horizontal="center" vertical="center" shrinkToFit="1"/>
      <protection locked="0"/>
    </xf>
    <xf numFmtId="0" fontId="0" fillId="0" borderId="88" xfId="0" applyFill="1" applyBorder="1" applyAlignment="1" applyProtection="1">
      <alignment horizontal="center" vertical="center" shrinkToFit="1"/>
      <protection locked="0"/>
    </xf>
    <xf numFmtId="0" fontId="12" fillId="0" borderId="89" xfId="0" applyFont="1" applyFill="1" applyBorder="1" applyAlignment="1" applyProtection="1">
      <alignment horizontal="right" vertical="center"/>
      <protection locked="0"/>
    </xf>
    <xf numFmtId="0" fontId="12" fillId="0" borderId="90" xfId="0" applyFont="1" applyFill="1" applyBorder="1" applyAlignment="1" applyProtection="1">
      <alignment horizontal="right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8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38" fontId="12" fillId="0" borderId="67" xfId="50" applyFont="1" applyFill="1" applyBorder="1" applyAlignment="1" applyProtection="1">
      <alignment horizontal="right" vertical="center"/>
      <protection locked="0"/>
    </xf>
    <xf numFmtId="38" fontId="12" fillId="0" borderId="24" xfId="50" applyFont="1" applyFill="1" applyBorder="1" applyAlignment="1" applyProtection="1">
      <alignment horizontal="right" vertical="center"/>
      <protection locked="0"/>
    </xf>
    <xf numFmtId="38" fontId="12" fillId="0" borderId="25" xfId="50" applyFont="1" applyFill="1" applyBorder="1" applyAlignment="1" applyProtection="1">
      <alignment horizontal="right" vertical="center"/>
      <protection locked="0"/>
    </xf>
    <xf numFmtId="38" fontId="12" fillId="0" borderId="0" xfId="50" applyFont="1" applyFill="1" applyBorder="1" applyAlignment="1" applyProtection="1">
      <alignment horizontal="right" vertical="center"/>
      <protection locked="0"/>
    </xf>
    <xf numFmtId="38" fontId="12" fillId="0" borderId="51" xfId="50" applyFont="1" applyFill="1" applyBorder="1" applyAlignment="1" applyProtection="1">
      <alignment horizontal="right" vertical="center"/>
      <protection locked="0"/>
    </xf>
    <xf numFmtId="38" fontId="12" fillId="0" borderId="26" xfId="50" applyFont="1" applyFill="1" applyBorder="1" applyAlignment="1" applyProtection="1">
      <alignment horizontal="right" vertical="center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72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72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12" fillId="0" borderId="67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92" xfId="0" applyFont="1" applyFill="1" applyBorder="1" applyAlignment="1" applyProtection="1">
      <alignment horizontal="center" vertical="center"/>
      <protection locked="0"/>
    </xf>
    <xf numFmtId="0" fontId="12" fillId="0" borderId="93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58" fontId="11" fillId="0" borderId="67" xfId="0" applyNumberFormat="1" applyFont="1" applyFill="1" applyBorder="1" applyAlignment="1" applyProtection="1">
      <alignment horizontal="distributed" vertical="center" shrinkToFit="1"/>
      <protection locked="0"/>
    </xf>
    <xf numFmtId="58" fontId="11" fillId="0" borderId="24" xfId="0" applyNumberFormat="1" applyFont="1" applyFill="1" applyBorder="1" applyAlignment="1" applyProtection="1">
      <alignment horizontal="distributed" vertical="center" shrinkToFit="1"/>
      <protection locked="0"/>
    </xf>
    <xf numFmtId="58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58" fontId="16" fillId="0" borderId="94" xfId="0" applyNumberFormat="1" applyFont="1" applyFill="1" applyBorder="1" applyAlignment="1" applyProtection="1">
      <alignment vertical="center"/>
      <protection locked="0"/>
    </xf>
    <xf numFmtId="58" fontId="16" fillId="0" borderId="40" xfId="0" applyNumberFormat="1" applyFont="1" applyFill="1" applyBorder="1" applyAlignment="1" applyProtection="1">
      <alignment vertical="center"/>
      <protection locked="0"/>
    </xf>
    <xf numFmtId="58" fontId="11" fillId="0" borderId="51" xfId="0" applyNumberFormat="1" applyFont="1" applyFill="1" applyBorder="1" applyAlignment="1" applyProtection="1">
      <alignment horizontal="distributed" vertical="center" shrinkToFit="1"/>
      <protection locked="0"/>
    </xf>
    <xf numFmtId="58" fontId="11" fillId="0" borderId="26" xfId="0" applyNumberFormat="1" applyFont="1" applyFill="1" applyBorder="1" applyAlignment="1" applyProtection="1">
      <alignment horizontal="distributed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vertical="center" shrinkToFit="1"/>
      <protection locked="0"/>
    </xf>
    <xf numFmtId="0" fontId="4" fillId="0" borderId="96" xfId="0" applyFont="1" applyFill="1" applyBorder="1" applyAlignment="1" applyProtection="1">
      <alignment vertical="center" shrinkToFit="1"/>
      <protection locked="0"/>
    </xf>
    <xf numFmtId="0" fontId="4" fillId="0" borderId="97" xfId="0" applyFont="1" applyFill="1" applyBorder="1" applyAlignment="1" applyProtection="1">
      <alignment vertical="center" shrinkToFit="1"/>
      <protection locked="0"/>
    </xf>
    <xf numFmtId="0" fontId="4" fillId="0" borderId="98" xfId="0" applyFont="1" applyFill="1" applyBorder="1" applyAlignment="1" applyProtection="1">
      <alignment vertical="center" shrinkToFit="1"/>
      <protection locked="0"/>
    </xf>
    <xf numFmtId="0" fontId="4" fillId="0" borderId="99" xfId="0" applyFont="1" applyFill="1" applyBorder="1" applyAlignment="1" applyProtection="1">
      <alignment vertical="center" shrinkToFit="1"/>
      <protection locked="0"/>
    </xf>
    <xf numFmtId="0" fontId="12" fillId="0" borderId="67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wrapText="1" shrinkToFit="1"/>
      <protection locked="0"/>
    </xf>
    <xf numFmtId="0" fontId="4" fillId="0" borderId="24" xfId="0" applyFont="1" applyFill="1" applyBorder="1" applyAlignment="1" applyProtection="1">
      <alignment horizontal="center" vertical="center" wrapText="1" shrinkToFit="1"/>
      <protection locked="0"/>
    </xf>
    <xf numFmtId="0" fontId="4" fillId="0" borderId="28" xfId="0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72" xfId="0" applyFont="1" applyFill="1" applyBorder="1" applyAlignment="1" applyProtection="1">
      <alignment horizontal="center" vertical="center" wrapText="1" shrinkToFit="1"/>
      <protection locked="0"/>
    </xf>
    <xf numFmtId="0" fontId="4" fillId="0" borderId="66" xfId="0" applyFont="1" applyFill="1" applyBorder="1" applyAlignment="1" applyProtection="1">
      <alignment horizontal="center" vertical="center" wrapText="1" shrinkToFit="1"/>
      <protection locked="0"/>
    </xf>
    <xf numFmtId="0" fontId="4" fillId="0" borderId="64" xfId="0" applyFont="1" applyFill="1" applyBorder="1" applyAlignment="1" applyProtection="1">
      <alignment horizontal="center" vertical="center" wrapText="1" shrinkToFit="1"/>
      <protection locked="0"/>
    </xf>
    <xf numFmtId="0" fontId="4" fillId="0" borderId="65" xfId="0" applyFont="1" applyFill="1" applyBorder="1" applyAlignment="1" applyProtection="1">
      <alignment horizontal="center" vertical="center" wrapText="1" shrinkToFit="1"/>
      <protection locked="0"/>
    </xf>
    <xf numFmtId="9" fontId="20" fillId="0" borderId="24" xfId="0" applyNumberFormat="1" applyFont="1" applyFill="1" applyBorder="1" applyAlignment="1" applyProtection="1">
      <alignment horizontal="center" vertical="center" shrinkToFit="1"/>
      <protection locked="0"/>
    </xf>
    <xf numFmtId="9" fontId="20" fillId="0" borderId="68" xfId="0" applyNumberFormat="1" applyFont="1" applyFill="1" applyBorder="1" applyAlignment="1" applyProtection="1">
      <alignment horizontal="center" vertical="center" shrinkToFit="1"/>
      <protection locked="0"/>
    </xf>
    <xf numFmtId="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9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9" fontId="20" fillId="0" borderId="64" xfId="0" applyNumberFormat="1" applyFont="1" applyFill="1" applyBorder="1" applyAlignment="1" applyProtection="1">
      <alignment horizontal="center" vertical="center" shrinkToFit="1"/>
      <protection locked="0"/>
    </xf>
    <xf numFmtId="9" fontId="20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58" fontId="12" fillId="0" borderId="67" xfId="0" applyNumberFormat="1" applyFont="1" applyFill="1" applyBorder="1" applyAlignment="1" applyProtection="1">
      <alignment horizontal="distributed" vertical="center" shrinkToFit="1"/>
      <protection locked="0"/>
    </xf>
    <xf numFmtId="58" fontId="12" fillId="0" borderId="24" xfId="0" applyNumberFormat="1" applyFont="1" applyFill="1" applyBorder="1" applyAlignment="1" applyProtection="1">
      <alignment horizontal="distributed" vertical="center" shrinkToFit="1"/>
      <protection locked="0"/>
    </xf>
    <xf numFmtId="58" fontId="12" fillId="0" borderId="28" xfId="0" applyNumberFormat="1" applyFont="1" applyFill="1" applyBorder="1" applyAlignment="1" applyProtection="1">
      <alignment horizontal="distributed" vertical="center" shrinkToFit="1"/>
      <protection locked="0"/>
    </xf>
    <xf numFmtId="58" fontId="12" fillId="0" borderId="25" xfId="0" applyNumberFormat="1" applyFont="1" applyFill="1" applyBorder="1" applyAlignment="1" applyProtection="1">
      <alignment horizontal="distributed" vertical="center" shrinkToFit="1"/>
      <protection locked="0"/>
    </xf>
    <xf numFmtId="58" fontId="12" fillId="0" borderId="0" xfId="0" applyNumberFormat="1" applyFont="1" applyFill="1" applyBorder="1" applyAlignment="1" applyProtection="1">
      <alignment horizontal="distributed" vertical="center" shrinkToFit="1"/>
      <protection locked="0"/>
    </xf>
    <xf numFmtId="58" fontId="12" fillId="0" borderId="72" xfId="0" applyNumberFormat="1" applyFont="1" applyFill="1" applyBorder="1" applyAlignment="1" applyProtection="1">
      <alignment horizontal="distributed" vertical="center" shrinkToFit="1"/>
      <protection locked="0"/>
    </xf>
    <xf numFmtId="58" fontId="12" fillId="0" borderId="66" xfId="0" applyNumberFormat="1" applyFont="1" applyFill="1" applyBorder="1" applyAlignment="1" applyProtection="1">
      <alignment horizontal="distributed" vertical="center" shrinkToFit="1"/>
      <protection locked="0"/>
    </xf>
    <xf numFmtId="58" fontId="12" fillId="0" borderId="64" xfId="0" applyNumberFormat="1" applyFont="1" applyFill="1" applyBorder="1" applyAlignment="1" applyProtection="1">
      <alignment horizontal="distributed" vertical="center" shrinkToFit="1"/>
      <protection locked="0"/>
    </xf>
    <xf numFmtId="58" fontId="12" fillId="0" borderId="65" xfId="0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textRotation="255" shrinkToFit="1"/>
      <protection locked="0"/>
    </xf>
    <xf numFmtId="0" fontId="12" fillId="0" borderId="10" xfId="0" applyFont="1" applyFill="1" applyBorder="1" applyAlignment="1" applyProtection="1">
      <alignment horizontal="center" vertical="center" textRotation="255" shrinkToFit="1"/>
      <protection locked="0"/>
    </xf>
    <xf numFmtId="0" fontId="12" fillId="0" borderId="44" xfId="0" applyFont="1" applyFill="1" applyBorder="1" applyAlignment="1" applyProtection="1">
      <alignment horizontal="center" vertical="center" textRotation="255" shrinkToFit="1"/>
      <protection locked="0"/>
    </xf>
    <xf numFmtId="0" fontId="12" fillId="0" borderId="66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0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 applyProtection="1">
      <alignment horizontal="center" vertical="center" shrinkToFit="1"/>
      <protection locked="0"/>
    </xf>
    <xf numFmtId="0" fontId="12" fillId="0" borderId="92" xfId="0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64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180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68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48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64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2" xfId="0" applyFont="1" applyFill="1" applyBorder="1" applyAlignment="1" applyProtection="1">
      <alignment horizontal="center" vertical="center" shrinkToFit="1"/>
      <protection locked="0"/>
    </xf>
    <xf numFmtId="0" fontId="20" fillId="0" borderId="103" xfId="0" applyFont="1" applyFill="1" applyBorder="1" applyAlignment="1" applyProtection="1">
      <alignment horizontal="center" vertical="center" shrinkToFit="1"/>
      <protection locked="0"/>
    </xf>
    <xf numFmtId="0" fontId="20" fillId="0" borderId="39" xfId="0" applyFont="1" applyFill="1" applyBorder="1" applyAlignment="1" applyProtection="1">
      <alignment horizontal="center" vertical="center" shrinkToFit="1"/>
      <protection locked="0"/>
    </xf>
    <xf numFmtId="0" fontId="20" fillId="0" borderId="66" xfId="0" applyFont="1" applyFill="1" applyBorder="1" applyAlignment="1" applyProtection="1">
      <alignment horizontal="center" vertical="center" shrinkToFit="1"/>
      <protection locked="0"/>
    </xf>
    <xf numFmtId="0" fontId="20" fillId="0" borderId="64" xfId="0" applyFont="1" applyFill="1" applyBorder="1" applyAlignment="1" applyProtection="1">
      <alignment horizontal="center" vertical="center" shrinkToFit="1"/>
      <protection locked="0"/>
    </xf>
    <xf numFmtId="0" fontId="20" fillId="0" borderId="65" xfId="0" applyFont="1" applyFill="1" applyBorder="1" applyAlignment="1" applyProtection="1">
      <alignment horizontal="center" vertical="center" shrinkToFit="1"/>
      <protection locked="0"/>
    </xf>
    <xf numFmtId="0" fontId="12" fillId="0" borderId="104" xfId="0" applyFont="1" applyFill="1" applyBorder="1" applyAlignment="1" applyProtection="1">
      <alignment horizontal="center" vertical="center" shrinkToFit="1"/>
      <protection locked="0"/>
    </xf>
    <xf numFmtId="0" fontId="12" fillId="0" borderId="105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106" xfId="0" applyFont="1" applyFill="1" applyBorder="1" applyAlignment="1" applyProtection="1">
      <alignment horizontal="center" vertical="center" shrinkToFit="1"/>
      <protection locked="0"/>
    </xf>
    <xf numFmtId="0" fontId="12" fillId="0" borderId="107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vertical="center"/>
      <protection locked="0"/>
    </xf>
    <xf numFmtId="0" fontId="4" fillId="0" borderId="64" xfId="0" applyFont="1" applyFill="1" applyBorder="1" applyAlignment="1" applyProtection="1">
      <alignment vertical="center"/>
      <protection locked="0"/>
    </xf>
    <xf numFmtId="0" fontId="4" fillId="0" borderId="65" xfId="0" applyFont="1" applyFill="1" applyBorder="1" applyAlignment="1" applyProtection="1">
      <alignment vertical="center"/>
      <protection locked="0"/>
    </xf>
    <xf numFmtId="0" fontId="4" fillId="0" borderId="108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109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180" fontId="17" fillId="0" borderId="108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46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47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25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 applyProtection="1">
      <alignment horizontal="right" vertical="center" shrinkToFit="1"/>
      <protection locked="0"/>
    </xf>
    <xf numFmtId="0" fontId="11" fillId="0" borderId="93" xfId="0" applyFont="1" applyFill="1" applyBorder="1" applyAlignment="1" applyProtection="1">
      <alignment horizontal="right" vertical="center" shrinkToFit="1"/>
      <protection locked="0"/>
    </xf>
    <xf numFmtId="0" fontId="11" fillId="0" borderId="33" xfId="0" applyFont="1" applyFill="1" applyBorder="1" applyAlignment="1" applyProtection="1">
      <alignment horizontal="right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12" fillId="0" borderId="110" xfId="0" applyFont="1" applyFill="1" applyBorder="1" applyAlignment="1" applyProtection="1">
      <alignment horizontal="center" vertical="center" shrinkToFit="1"/>
      <protection locked="0"/>
    </xf>
    <xf numFmtId="0" fontId="12" fillId="0" borderId="111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112" xfId="0" applyFont="1" applyFill="1" applyBorder="1" applyAlignment="1" applyProtection="1">
      <alignment horizontal="center" vertical="center" shrinkToFit="1"/>
      <protection locked="0"/>
    </xf>
    <xf numFmtId="0" fontId="13" fillId="0" borderId="105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108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09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12" fillId="0" borderId="108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109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72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6" fillId="0" borderId="108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109" xfId="0" applyFont="1" applyFill="1" applyBorder="1" applyAlignment="1" applyProtection="1">
      <alignment horizontal="center" vertical="center" wrapText="1"/>
      <protection locked="0"/>
    </xf>
    <xf numFmtId="0" fontId="6" fillId="0" borderId="92" xfId="0" applyFont="1" applyFill="1" applyBorder="1" applyAlignment="1" applyProtection="1">
      <alignment horizontal="center" vertical="center" wrapText="1"/>
      <protection locked="0"/>
    </xf>
    <xf numFmtId="0" fontId="6" fillId="0" borderId="9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108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109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10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178" fontId="19" fillId="0" borderId="0" xfId="0" applyNumberFormat="1" applyFont="1" applyFill="1" applyAlignment="1" applyProtection="1">
      <alignment horizontal="distributed" vertical="center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109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2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21" fillId="0" borderId="108" xfId="0" applyFont="1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21" fillId="0" borderId="109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72" xfId="0" applyFont="1" applyFill="1" applyBorder="1" applyAlignment="1" applyProtection="1">
      <alignment horizontal="center" vertical="center"/>
      <protection locked="0"/>
    </xf>
    <xf numFmtId="0" fontId="21" fillId="0" borderId="66" xfId="0" applyFont="1" applyFill="1" applyBorder="1" applyAlignment="1" applyProtection="1">
      <alignment horizontal="center" vertical="center"/>
      <protection locked="0"/>
    </xf>
    <xf numFmtId="0" fontId="21" fillId="0" borderId="64" xfId="0" applyFont="1" applyFill="1" applyBorder="1" applyAlignment="1" applyProtection="1">
      <alignment horizontal="center" vertical="center"/>
      <protection locked="0"/>
    </xf>
    <xf numFmtId="0" fontId="21" fillId="0" borderId="65" xfId="0" applyFont="1" applyFill="1" applyBorder="1" applyAlignment="1" applyProtection="1">
      <alignment horizontal="center" vertical="center"/>
      <protection locked="0"/>
    </xf>
    <xf numFmtId="0" fontId="13" fillId="0" borderId="113" xfId="0" applyFont="1" applyFill="1" applyBorder="1" applyAlignment="1" applyProtection="1">
      <alignment horizontal="center" vertical="center" shrinkToFit="1"/>
      <protection locked="0"/>
    </xf>
    <xf numFmtId="0" fontId="13" fillId="0" borderId="111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23">
    <dxf>
      <font>
        <color indexed="9"/>
      </font>
    </dxf>
    <dxf>
      <font>
        <b/>
        <i val="0"/>
        <color auto="1"/>
      </font>
      <fill>
        <patternFill>
          <bgColor indexed="43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b/>
        <i val="0"/>
        <color auto="1"/>
      </font>
      <fill>
        <patternFill>
          <bgColor indexed="43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b/>
        <i val="0"/>
        <color auto="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PageLayoutView="0" workbookViewId="0" topLeftCell="A25">
      <selection activeCell="J6" sqref="J6:J8"/>
    </sheetView>
  </sheetViews>
  <sheetFormatPr defaultColWidth="4.125" defaultRowHeight="13.5"/>
  <cols>
    <col min="1" max="47" width="4.25390625" style="24" customWidth="1"/>
    <col min="48" max="48" width="4.125" style="24" customWidth="1"/>
    <col min="49" max="49" width="8.125" style="24" customWidth="1"/>
    <col min="50" max="70" width="8.625" style="24" hidden="1" customWidth="1"/>
    <col min="71" max="71" width="14.25390625" style="24" hidden="1" customWidth="1"/>
    <col min="72" max="80" width="8.625" style="24" customWidth="1"/>
    <col min="81" max="82" width="7.00390625" style="24" customWidth="1"/>
    <col min="83" max="85" width="4.50390625" style="24" customWidth="1"/>
    <col min="86" max="16384" width="4.125" style="24" customWidth="1"/>
  </cols>
  <sheetData>
    <row r="1" spans="1:52" ht="24.75" customHeight="1">
      <c r="A1" s="21"/>
      <c r="B1" s="494"/>
      <c r="C1" s="495"/>
      <c r="D1" s="495"/>
      <c r="E1" s="495"/>
      <c r="F1" s="496"/>
      <c r="G1" s="21"/>
      <c r="H1" s="497" t="s">
        <v>210</v>
      </c>
      <c r="I1" s="497"/>
      <c r="J1" s="497"/>
      <c r="K1" s="497"/>
      <c r="L1" s="497"/>
      <c r="M1" s="497"/>
      <c r="N1" s="497"/>
      <c r="O1" s="497"/>
      <c r="P1" s="497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2"/>
      <c r="AC1" s="498" t="s">
        <v>53</v>
      </c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22"/>
      <c r="AS1" s="499" t="s">
        <v>92</v>
      </c>
      <c r="AT1" s="500"/>
      <c r="AU1" s="500"/>
      <c r="AV1" s="500"/>
      <c r="AW1" s="500"/>
      <c r="AZ1" s="24" t="s">
        <v>50</v>
      </c>
    </row>
    <row r="2" spans="1:52" ht="3.75" customHeight="1" thickBot="1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Z2" s="24" t="s">
        <v>45</v>
      </c>
    </row>
    <row r="3" spans="1:54" ht="15.75" customHeight="1">
      <c r="A3" s="501" t="s">
        <v>0</v>
      </c>
      <c r="B3" s="502"/>
      <c r="C3" s="503"/>
      <c r="D3" s="510"/>
      <c r="E3" s="511"/>
      <c r="F3" s="511"/>
      <c r="G3" s="512"/>
      <c r="H3" s="519"/>
      <c r="I3" s="469"/>
      <c r="J3" s="469"/>
      <c r="K3" s="469"/>
      <c r="L3" s="469"/>
      <c r="M3" s="469"/>
      <c r="N3" s="472" t="s">
        <v>3</v>
      </c>
      <c r="O3" s="473"/>
      <c r="P3" s="473"/>
      <c r="Q3" s="474"/>
      <c r="R3" s="476"/>
      <c r="S3" s="477"/>
      <c r="T3" s="477"/>
      <c r="U3" s="477"/>
      <c r="V3" s="477"/>
      <c r="W3" s="478"/>
      <c r="X3" s="485" t="s">
        <v>5</v>
      </c>
      <c r="Y3" s="486"/>
      <c r="Z3" s="486"/>
      <c r="AA3" s="486"/>
      <c r="AB3" s="487"/>
      <c r="AC3" s="491"/>
      <c r="AD3" s="492"/>
      <c r="AE3" s="492"/>
      <c r="AF3" s="492"/>
      <c r="AG3" s="492"/>
      <c r="AH3" s="492"/>
      <c r="AI3" s="492"/>
      <c r="AJ3" s="492"/>
      <c r="AK3" s="492"/>
      <c r="AL3" s="493"/>
      <c r="AM3" s="451" t="s">
        <v>24</v>
      </c>
      <c r="AN3" s="452"/>
      <c r="AO3" s="453"/>
      <c r="AP3" s="456"/>
      <c r="AQ3" s="457"/>
      <c r="AR3" s="457"/>
      <c r="AS3" s="457"/>
      <c r="AT3" s="457"/>
      <c r="AU3" s="457"/>
      <c r="AV3" s="457"/>
      <c r="AW3" s="458"/>
      <c r="AZ3" s="24" t="s">
        <v>46</v>
      </c>
      <c r="BA3" s="24" t="s">
        <v>159</v>
      </c>
      <c r="BB3" s="24">
        <v>0.9</v>
      </c>
    </row>
    <row r="4" spans="1:70" ht="15" customHeight="1">
      <c r="A4" s="504"/>
      <c r="B4" s="505"/>
      <c r="C4" s="506"/>
      <c r="D4" s="513"/>
      <c r="E4" s="514"/>
      <c r="F4" s="514"/>
      <c r="G4" s="515"/>
      <c r="H4" s="520"/>
      <c r="I4" s="470"/>
      <c r="J4" s="470"/>
      <c r="K4" s="470"/>
      <c r="L4" s="470"/>
      <c r="M4" s="470"/>
      <c r="N4" s="293"/>
      <c r="O4" s="294"/>
      <c r="P4" s="294"/>
      <c r="Q4" s="295"/>
      <c r="R4" s="479"/>
      <c r="S4" s="480"/>
      <c r="T4" s="480"/>
      <c r="U4" s="480"/>
      <c r="V4" s="480"/>
      <c r="W4" s="481"/>
      <c r="X4" s="488"/>
      <c r="Y4" s="489"/>
      <c r="Z4" s="489"/>
      <c r="AA4" s="489"/>
      <c r="AB4" s="490"/>
      <c r="AC4" s="461"/>
      <c r="AD4" s="462"/>
      <c r="AE4" s="462"/>
      <c r="AF4" s="462"/>
      <c r="AG4" s="462"/>
      <c r="AH4" s="462"/>
      <c r="AI4" s="462"/>
      <c r="AJ4" s="462"/>
      <c r="AK4" s="462"/>
      <c r="AL4" s="463"/>
      <c r="AM4" s="454"/>
      <c r="AN4" s="397"/>
      <c r="AO4" s="398"/>
      <c r="AP4" s="459"/>
      <c r="AQ4" s="432"/>
      <c r="AR4" s="432"/>
      <c r="AS4" s="432"/>
      <c r="AT4" s="432"/>
      <c r="AU4" s="432"/>
      <c r="AV4" s="432"/>
      <c r="AW4" s="433"/>
      <c r="AZ4" s="24" t="s">
        <v>41</v>
      </c>
      <c r="BA4" s="24" t="s">
        <v>160</v>
      </c>
      <c r="BB4" s="24">
        <v>0.8</v>
      </c>
      <c r="BJ4" s="26" t="s">
        <v>88</v>
      </c>
      <c r="BK4" s="27">
        <v>18</v>
      </c>
      <c r="BQ4" s="26" t="s">
        <v>64</v>
      </c>
      <c r="BR4" s="27">
        <v>100026</v>
      </c>
    </row>
    <row r="5" spans="1:70" ht="12.75" customHeight="1">
      <c r="A5" s="507"/>
      <c r="B5" s="508"/>
      <c r="C5" s="509"/>
      <c r="D5" s="516"/>
      <c r="E5" s="517"/>
      <c r="F5" s="517"/>
      <c r="G5" s="518"/>
      <c r="H5" s="521"/>
      <c r="I5" s="471"/>
      <c r="J5" s="471"/>
      <c r="K5" s="471"/>
      <c r="L5" s="471"/>
      <c r="M5" s="471"/>
      <c r="N5" s="475"/>
      <c r="O5" s="464"/>
      <c r="P5" s="464"/>
      <c r="Q5" s="465"/>
      <c r="R5" s="482"/>
      <c r="S5" s="483"/>
      <c r="T5" s="483"/>
      <c r="U5" s="483"/>
      <c r="V5" s="483"/>
      <c r="W5" s="484"/>
      <c r="X5" s="464" t="s">
        <v>6</v>
      </c>
      <c r="Y5" s="464"/>
      <c r="Z5" s="464"/>
      <c r="AA5" s="464"/>
      <c r="AB5" s="465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455"/>
      <c r="AN5" s="400"/>
      <c r="AO5" s="401"/>
      <c r="AP5" s="460"/>
      <c r="AQ5" s="434"/>
      <c r="AR5" s="434"/>
      <c r="AS5" s="434"/>
      <c r="AT5" s="434"/>
      <c r="AU5" s="434"/>
      <c r="AV5" s="434"/>
      <c r="AW5" s="435"/>
      <c r="AZ5" s="24" t="s">
        <v>42</v>
      </c>
      <c r="BA5" s="24" t="s">
        <v>161</v>
      </c>
      <c r="BB5" s="24">
        <v>0.7</v>
      </c>
      <c r="BJ5" s="26" t="s">
        <v>93</v>
      </c>
      <c r="BK5" s="27">
        <v>67</v>
      </c>
      <c r="BQ5" s="26" t="s">
        <v>65</v>
      </c>
      <c r="BR5" s="27">
        <v>100034</v>
      </c>
    </row>
    <row r="6" spans="1:70" ht="13.5" customHeight="1">
      <c r="A6" s="393" t="s">
        <v>1</v>
      </c>
      <c r="B6" s="394"/>
      <c r="C6" s="395"/>
      <c r="D6" s="466"/>
      <c r="E6" s="442"/>
      <c r="F6" s="442"/>
      <c r="G6" s="442"/>
      <c r="H6" s="442"/>
      <c r="I6" s="442"/>
      <c r="J6" s="442"/>
      <c r="K6" s="442"/>
      <c r="L6" s="442"/>
      <c r="M6" s="445"/>
      <c r="N6" s="290" t="s">
        <v>4</v>
      </c>
      <c r="O6" s="291"/>
      <c r="P6" s="291"/>
      <c r="Q6" s="292"/>
      <c r="R6" s="420"/>
      <c r="S6" s="420"/>
      <c r="T6" s="420"/>
      <c r="U6" s="420"/>
      <c r="V6" s="420"/>
      <c r="W6" s="421"/>
      <c r="X6" s="356" t="s">
        <v>114</v>
      </c>
      <c r="Y6" s="357"/>
      <c r="Z6" s="357"/>
      <c r="AA6" s="357"/>
      <c r="AB6" s="358"/>
      <c r="AC6" s="362"/>
      <c r="AD6" s="363"/>
      <c r="AE6" s="363"/>
      <c r="AF6" s="363"/>
      <c r="AG6" s="363"/>
      <c r="AH6" s="363"/>
      <c r="AI6" s="363"/>
      <c r="AJ6" s="363"/>
      <c r="AK6" s="363"/>
      <c r="AL6" s="364"/>
      <c r="AM6" s="305" t="s">
        <v>51</v>
      </c>
      <c r="AN6" s="425"/>
      <c r="AO6" s="306"/>
      <c r="AP6" s="430"/>
      <c r="AQ6" s="430"/>
      <c r="AR6" s="430"/>
      <c r="AS6" s="430"/>
      <c r="AT6" s="430"/>
      <c r="AU6" s="430"/>
      <c r="AV6" s="430"/>
      <c r="AW6" s="431"/>
      <c r="AZ6" s="24" t="s">
        <v>43</v>
      </c>
      <c r="BJ6" s="26" t="s">
        <v>94</v>
      </c>
      <c r="BK6" s="27">
        <v>75</v>
      </c>
      <c r="BQ6" s="26" t="s">
        <v>66</v>
      </c>
      <c r="BR6" s="27">
        <v>100042</v>
      </c>
    </row>
    <row r="7" spans="1:70" ht="10.5" customHeight="1">
      <c r="A7" s="396"/>
      <c r="B7" s="397"/>
      <c r="C7" s="398"/>
      <c r="D7" s="467"/>
      <c r="E7" s="443"/>
      <c r="F7" s="443"/>
      <c r="G7" s="443"/>
      <c r="H7" s="443"/>
      <c r="I7" s="443"/>
      <c r="J7" s="443"/>
      <c r="K7" s="443"/>
      <c r="L7" s="443"/>
      <c r="M7" s="446"/>
      <c r="N7" s="293"/>
      <c r="O7" s="294"/>
      <c r="P7" s="294"/>
      <c r="Q7" s="295"/>
      <c r="R7" s="436"/>
      <c r="S7" s="437"/>
      <c r="T7" s="437"/>
      <c r="U7" s="437"/>
      <c r="V7" s="437"/>
      <c r="W7" s="438"/>
      <c r="X7" s="359"/>
      <c r="Y7" s="360"/>
      <c r="Z7" s="360"/>
      <c r="AA7" s="360"/>
      <c r="AB7" s="361"/>
      <c r="AC7" s="422"/>
      <c r="AD7" s="423"/>
      <c r="AE7" s="423"/>
      <c r="AF7" s="423"/>
      <c r="AG7" s="423"/>
      <c r="AH7" s="423"/>
      <c r="AI7" s="423"/>
      <c r="AJ7" s="423"/>
      <c r="AK7" s="423"/>
      <c r="AL7" s="424"/>
      <c r="AM7" s="307"/>
      <c r="AN7" s="426"/>
      <c r="AO7" s="308"/>
      <c r="AP7" s="432"/>
      <c r="AQ7" s="432"/>
      <c r="AR7" s="432"/>
      <c r="AS7" s="432"/>
      <c r="AT7" s="432"/>
      <c r="AU7" s="432"/>
      <c r="AV7" s="432"/>
      <c r="AW7" s="433"/>
      <c r="AZ7" s="24" t="s">
        <v>44</v>
      </c>
      <c r="BJ7" s="26" t="s">
        <v>95</v>
      </c>
      <c r="BK7" s="27">
        <v>34</v>
      </c>
      <c r="BQ7" s="26" t="s">
        <v>67</v>
      </c>
      <c r="BR7" s="27">
        <v>400020</v>
      </c>
    </row>
    <row r="8" spans="1:70" ht="15" customHeight="1">
      <c r="A8" s="399"/>
      <c r="B8" s="400"/>
      <c r="C8" s="401"/>
      <c r="D8" s="468"/>
      <c r="E8" s="444"/>
      <c r="F8" s="444"/>
      <c r="G8" s="444"/>
      <c r="H8" s="444"/>
      <c r="I8" s="444"/>
      <c r="J8" s="444"/>
      <c r="K8" s="444"/>
      <c r="L8" s="444"/>
      <c r="M8" s="447"/>
      <c r="N8" s="448"/>
      <c r="O8" s="449"/>
      <c r="P8" s="449"/>
      <c r="Q8" s="450"/>
      <c r="R8" s="439"/>
      <c r="S8" s="440"/>
      <c r="T8" s="440"/>
      <c r="U8" s="440"/>
      <c r="V8" s="440"/>
      <c r="W8" s="441"/>
      <c r="X8" s="388" t="s">
        <v>6</v>
      </c>
      <c r="Y8" s="389"/>
      <c r="Z8" s="389"/>
      <c r="AA8" s="389"/>
      <c r="AB8" s="390"/>
      <c r="AC8" s="30"/>
      <c r="AD8" s="31"/>
      <c r="AE8" s="31"/>
      <c r="AF8" s="31"/>
      <c r="AG8" s="31"/>
      <c r="AH8" s="31"/>
      <c r="AI8" s="31"/>
      <c r="AJ8" s="31"/>
      <c r="AK8" s="31"/>
      <c r="AL8" s="32"/>
      <c r="AM8" s="427"/>
      <c r="AN8" s="428"/>
      <c r="AO8" s="429"/>
      <c r="AP8" s="434"/>
      <c r="AQ8" s="434"/>
      <c r="AR8" s="434"/>
      <c r="AS8" s="434"/>
      <c r="AT8" s="434"/>
      <c r="AU8" s="434"/>
      <c r="AV8" s="434"/>
      <c r="AW8" s="435"/>
      <c r="AZ8" s="24" t="s">
        <v>8</v>
      </c>
      <c r="BA8" s="24" t="s">
        <v>195</v>
      </c>
      <c r="BB8" s="24">
        <v>10.21</v>
      </c>
      <c r="BJ8" s="26" t="s">
        <v>96</v>
      </c>
      <c r="BK8" s="27">
        <v>83</v>
      </c>
      <c r="BQ8" s="26" t="s">
        <v>68</v>
      </c>
      <c r="BR8" s="27">
        <v>400038</v>
      </c>
    </row>
    <row r="9" spans="1:70" ht="11.25" customHeight="1">
      <c r="A9" s="393" t="s">
        <v>2</v>
      </c>
      <c r="B9" s="394"/>
      <c r="C9" s="395"/>
      <c r="D9" s="402"/>
      <c r="E9" s="403"/>
      <c r="F9" s="403"/>
      <c r="G9" s="403"/>
      <c r="H9" s="403"/>
      <c r="I9" s="403"/>
      <c r="J9" s="404"/>
      <c r="K9" s="411" t="s">
        <v>7</v>
      </c>
      <c r="L9" s="362"/>
      <c r="M9" s="364"/>
      <c r="N9" s="416" t="s">
        <v>11</v>
      </c>
      <c r="O9" s="417"/>
      <c r="P9" s="417"/>
      <c r="Q9" s="418"/>
      <c r="R9" s="362"/>
      <c r="S9" s="363"/>
      <c r="T9" s="363"/>
      <c r="U9" s="363"/>
      <c r="V9" s="363"/>
      <c r="W9" s="364"/>
      <c r="X9" s="356" t="s">
        <v>115</v>
      </c>
      <c r="Y9" s="357"/>
      <c r="Z9" s="357"/>
      <c r="AA9" s="357"/>
      <c r="AB9" s="358"/>
      <c r="AC9" s="362"/>
      <c r="AD9" s="363"/>
      <c r="AE9" s="363"/>
      <c r="AF9" s="363"/>
      <c r="AG9" s="363"/>
      <c r="AH9" s="363"/>
      <c r="AI9" s="363"/>
      <c r="AJ9" s="363"/>
      <c r="AK9" s="363"/>
      <c r="AL9" s="364"/>
      <c r="AM9" s="368" t="s">
        <v>14</v>
      </c>
      <c r="AN9" s="316"/>
      <c r="AO9" s="317"/>
      <c r="AP9" s="368"/>
      <c r="AQ9" s="316"/>
      <c r="AR9" s="316"/>
      <c r="AS9" s="373" t="s">
        <v>158</v>
      </c>
      <c r="AT9" s="374"/>
      <c r="AU9" s="375"/>
      <c r="AV9" s="382" t="s">
        <v>209</v>
      </c>
      <c r="AW9" s="383"/>
      <c r="AZ9" s="24" t="s">
        <v>9</v>
      </c>
      <c r="BA9" s="24" t="s">
        <v>196</v>
      </c>
      <c r="BB9" s="24">
        <v>10.21</v>
      </c>
      <c r="BJ9" s="26" t="s">
        <v>97</v>
      </c>
      <c r="BK9" s="27">
        <v>91</v>
      </c>
      <c r="BQ9" s="26" t="s">
        <v>69</v>
      </c>
      <c r="BR9" s="27">
        <v>400046</v>
      </c>
    </row>
    <row r="10" spans="1:70" ht="10.5" customHeight="1">
      <c r="A10" s="396"/>
      <c r="B10" s="397"/>
      <c r="C10" s="398"/>
      <c r="D10" s="405"/>
      <c r="E10" s="406"/>
      <c r="F10" s="406"/>
      <c r="G10" s="406"/>
      <c r="H10" s="406"/>
      <c r="I10" s="406"/>
      <c r="J10" s="407"/>
      <c r="K10" s="412"/>
      <c r="L10" s="365"/>
      <c r="M10" s="367"/>
      <c r="N10" s="416"/>
      <c r="O10" s="417"/>
      <c r="P10" s="417"/>
      <c r="Q10" s="418"/>
      <c r="R10" s="365"/>
      <c r="S10" s="366"/>
      <c r="T10" s="366"/>
      <c r="U10" s="366"/>
      <c r="V10" s="366"/>
      <c r="W10" s="367"/>
      <c r="X10" s="359"/>
      <c r="Y10" s="360"/>
      <c r="Z10" s="360"/>
      <c r="AA10" s="360"/>
      <c r="AB10" s="361"/>
      <c r="AC10" s="365"/>
      <c r="AD10" s="366"/>
      <c r="AE10" s="366"/>
      <c r="AF10" s="366"/>
      <c r="AG10" s="366"/>
      <c r="AH10" s="366"/>
      <c r="AI10" s="366"/>
      <c r="AJ10" s="366"/>
      <c r="AK10" s="366"/>
      <c r="AL10" s="367"/>
      <c r="AM10" s="369"/>
      <c r="AN10" s="319"/>
      <c r="AO10" s="320"/>
      <c r="AP10" s="369"/>
      <c r="AQ10" s="319"/>
      <c r="AR10" s="319"/>
      <c r="AS10" s="376"/>
      <c r="AT10" s="377"/>
      <c r="AU10" s="378"/>
      <c r="AV10" s="384"/>
      <c r="AW10" s="385"/>
      <c r="AZ10" s="24" t="s">
        <v>47</v>
      </c>
      <c r="BA10" s="24" t="s">
        <v>197</v>
      </c>
      <c r="BB10" s="24">
        <v>10.21</v>
      </c>
      <c r="BJ10" s="26" t="s">
        <v>98</v>
      </c>
      <c r="BK10" s="27">
        <v>59</v>
      </c>
      <c r="BQ10" s="26" t="s">
        <v>70</v>
      </c>
      <c r="BR10" s="27">
        <v>400053</v>
      </c>
    </row>
    <row r="11" spans="1:70" ht="15" customHeight="1">
      <c r="A11" s="399"/>
      <c r="B11" s="400"/>
      <c r="C11" s="401"/>
      <c r="D11" s="408"/>
      <c r="E11" s="409"/>
      <c r="F11" s="409"/>
      <c r="G11" s="409"/>
      <c r="H11" s="409"/>
      <c r="I11" s="409"/>
      <c r="J11" s="410"/>
      <c r="K11" s="413"/>
      <c r="L11" s="414"/>
      <c r="M11" s="415"/>
      <c r="N11" s="416"/>
      <c r="O11" s="417"/>
      <c r="P11" s="417"/>
      <c r="Q11" s="418"/>
      <c r="R11" s="414"/>
      <c r="S11" s="419"/>
      <c r="T11" s="419"/>
      <c r="U11" s="419"/>
      <c r="V11" s="419"/>
      <c r="W11" s="415"/>
      <c r="X11" s="388" t="s">
        <v>13</v>
      </c>
      <c r="Y11" s="389"/>
      <c r="Z11" s="389"/>
      <c r="AA11" s="389"/>
      <c r="AB11" s="390"/>
      <c r="AC11" s="391"/>
      <c r="AD11" s="392"/>
      <c r="AE11" s="33"/>
      <c r="AF11" s="34"/>
      <c r="AG11" s="34"/>
      <c r="AH11" s="34"/>
      <c r="AI11" s="34"/>
      <c r="AJ11" s="34"/>
      <c r="AK11" s="34"/>
      <c r="AL11" s="35"/>
      <c r="AM11" s="370"/>
      <c r="AN11" s="371"/>
      <c r="AO11" s="372"/>
      <c r="AP11" s="370"/>
      <c r="AQ11" s="371"/>
      <c r="AR11" s="371"/>
      <c r="AS11" s="379"/>
      <c r="AT11" s="380"/>
      <c r="AU11" s="381"/>
      <c r="AV11" s="386"/>
      <c r="AW11" s="387"/>
      <c r="AZ11" s="24" t="s">
        <v>48</v>
      </c>
      <c r="BA11" s="24" t="s">
        <v>198</v>
      </c>
      <c r="BB11" s="26">
        <v>10.14</v>
      </c>
      <c r="BQ11" s="26" t="s">
        <v>71</v>
      </c>
      <c r="BR11" s="27">
        <v>500027</v>
      </c>
    </row>
    <row r="12" spans="1:70" ht="18" customHeight="1">
      <c r="A12" s="315" t="s">
        <v>10</v>
      </c>
      <c r="B12" s="316"/>
      <c r="C12" s="316"/>
      <c r="D12" s="316"/>
      <c r="E12" s="316"/>
      <c r="F12" s="317"/>
      <c r="G12" s="324"/>
      <c r="H12" s="325"/>
      <c r="I12" s="325"/>
      <c r="J12" s="325"/>
      <c r="K12" s="325"/>
      <c r="L12" s="325"/>
      <c r="M12" s="326"/>
      <c r="N12" s="333" t="s">
        <v>113</v>
      </c>
      <c r="O12" s="334"/>
      <c r="P12" s="334"/>
      <c r="Q12" s="335"/>
      <c r="R12" s="342"/>
      <c r="S12" s="343"/>
      <c r="T12" s="343"/>
      <c r="U12" s="343"/>
      <c r="V12" s="343"/>
      <c r="W12" s="344"/>
      <c r="X12" s="348" t="s">
        <v>12</v>
      </c>
      <c r="Y12" s="295"/>
      <c r="Z12" s="349"/>
      <c r="AA12" s="350"/>
      <c r="AB12" s="350"/>
      <c r="AC12" s="350"/>
      <c r="AD12" s="350"/>
      <c r="AE12" s="350"/>
      <c r="AF12" s="350"/>
      <c r="AG12" s="350"/>
      <c r="AH12" s="37" t="s">
        <v>60</v>
      </c>
      <c r="AI12" s="36"/>
      <c r="AJ12" s="290" t="s">
        <v>15</v>
      </c>
      <c r="AK12" s="291"/>
      <c r="AL12" s="292"/>
      <c r="AM12" s="299"/>
      <c r="AN12" s="300"/>
      <c r="AO12" s="300"/>
      <c r="AP12" s="300"/>
      <c r="AQ12" s="291" t="s">
        <v>16</v>
      </c>
      <c r="AR12" s="292"/>
      <c r="AS12" s="305" t="s">
        <v>62</v>
      </c>
      <c r="AT12" s="306"/>
      <c r="AU12" s="311"/>
      <c r="AV12" s="291"/>
      <c r="AW12" s="312" t="s">
        <v>163</v>
      </c>
      <c r="AZ12" s="24" t="s">
        <v>194</v>
      </c>
      <c r="BA12" s="24" t="s">
        <v>199</v>
      </c>
      <c r="BB12" s="26">
        <v>10.14</v>
      </c>
      <c r="BQ12" s="26" t="s">
        <v>72</v>
      </c>
      <c r="BR12" s="27">
        <v>500035</v>
      </c>
    </row>
    <row r="13" spans="1:70" ht="3" customHeight="1">
      <c r="A13" s="318"/>
      <c r="B13" s="319"/>
      <c r="C13" s="319"/>
      <c r="D13" s="319"/>
      <c r="E13" s="319"/>
      <c r="F13" s="320"/>
      <c r="G13" s="327"/>
      <c r="H13" s="328"/>
      <c r="I13" s="328"/>
      <c r="J13" s="328"/>
      <c r="K13" s="328"/>
      <c r="L13" s="328"/>
      <c r="M13" s="329"/>
      <c r="N13" s="336"/>
      <c r="O13" s="337"/>
      <c r="P13" s="337"/>
      <c r="Q13" s="338"/>
      <c r="R13" s="345"/>
      <c r="S13" s="346"/>
      <c r="T13" s="346"/>
      <c r="U13" s="346"/>
      <c r="V13" s="346"/>
      <c r="W13" s="347"/>
      <c r="X13" s="348"/>
      <c r="Y13" s="295"/>
      <c r="Z13" s="39"/>
      <c r="AA13" s="40"/>
      <c r="AB13" s="40"/>
      <c r="AC13" s="40"/>
      <c r="AD13" s="40"/>
      <c r="AE13" s="40"/>
      <c r="AF13" s="40"/>
      <c r="AG13" s="40"/>
      <c r="AH13" s="38"/>
      <c r="AI13" s="38"/>
      <c r="AJ13" s="293"/>
      <c r="AK13" s="294"/>
      <c r="AL13" s="295"/>
      <c r="AM13" s="301"/>
      <c r="AN13" s="302"/>
      <c r="AO13" s="302"/>
      <c r="AP13" s="302"/>
      <c r="AQ13" s="294"/>
      <c r="AR13" s="295"/>
      <c r="AS13" s="307"/>
      <c r="AT13" s="308"/>
      <c r="AU13" s="293"/>
      <c r="AV13" s="294"/>
      <c r="AW13" s="313"/>
      <c r="AZ13" s="24" t="s">
        <v>116</v>
      </c>
      <c r="BA13" s="24" t="s">
        <v>200</v>
      </c>
      <c r="BB13" s="26">
        <v>10.14</v>
      </c>
      <c r="BQ13" s="26" t="s">
        <v>73</v>
      </c>
      <c r="BR13" s="27">
        <v>500043</v>
      </c>
    </row>
    <row r="14" spans="1:70" ht="19.5" customHeight="1" thickBot="1">
      <c r="A14" s="321"/>
      <c r="B14" s="322"/>
      <c r="C14" s="322"/>
      <c r="D14" s="322"/>
      <c r="E14" s="322"/>
      <c r="F14" s="323"/>
      <c r="G14" s="330"/>
      <c r="H14" s="331"/>
      <c r="I14" s="331"/>
      <c r="J14" s="331"/>
      <c r="K14" s="331"/>
      <c r="L14" s="331"/>
      <c r="M14" s="332"/>
      <c r="N14" s="339"/>
      <c r="O14" s="340"/>
      <c r="P14" s="340"/>
      <c r="Q14" s="341"/>
      <c r="R14" s="351" t="s">
        <v>127</v>
      </c>
      <c r="S14" s="352"/>
      <c r="T14" s="352"/>
      <c r="U14" s="352"/>
      <c r="V14" s="352"/>
      <c r="W14" s="353"/>
      <c r="X14" s="296"/>
      <c r="Y14" s="298"/>
      <c r="Z14" s="354"/>
      <c r="AA14" s="355"/>
      <c r="AB14" s="355"/>
      <c r="AC14" s="355"/>
      <c r="AD14" s="355"/>
      <c r="AE14" s="355"/>
      <c r="AF14" s="355"/>
      <c r="AG14" s="355"/>
      <c r="AH14" s="42" t="s">
        <v>61</v>
      </c>
      <c r="AI14" s="41"/>
      <c r="AJ14" s="296"/>
      <c r="AK14" s="297"/>
      <c r="AL14" s="298"/>
      <c r="AM14" s="303"/>
      <c r="AN14" s="304"/>
      <c r="AO14" s="304"/>
      <c r="AP14" s="304"/>
      <c r="AQ14" s="297"/>
      <c r="AR14" s="298"/>
      <c r="AS14" s="309"/>
      <c r="AT14" s="310"/>
      <c r="AU14" s="296"/>
      <c r="AV14" s="297"/>
      <c r="AW14" s="314"/>
      <c r="AZ14" s="24" t="s">
        <v>117</v>
      </c>
      <c r="BA14" s="24" t="s">
        <v>143</v>
      </c>
      <c r="BB14" s="24">
        <v>10.21</v>
      </c>
      <c r="BQ14" s="26" t="s">
        <v>74</v>
      </c>
      <c r="BR14" s="27">
        <v>500050</v>
      </c>
    </row>
    <row r="15" spans="1:70" ht="5.25" customHeight="1" thickBot="1">
      <c r="A15" s="43"/>
      <c r="B15" s="43"/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44"/>
      <c r="N15" s="45"/>
      <c r="O15" s="45"/>
      <c r="P15" s="45"/>
      <c r="Q15" s="45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25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6"/>
      <c r="AT15" s="46"/>
      <c r="AU15" s="44"/>
      <c r="AV15" s="44"/>
      <c r="AW15" s="47"/>
      <c r="BA15" s="26" t="s">
        <v>136</v>
      </c>
      <c r="BB15" s="26">
        <v>10.17</v>
      </c>
      <c r="BQ15" s="26" t="s">
        <v>75</v>
      </c>
      <c r="BR15" s="27">
        <v>500068</v>
      </c>
    </row>
    <row r="16" spans="1:70" ht="15" customHeight="1">
      <c r="A16" s="278" t="s">
        <v>23</v>
      </c>
      <c r="B16" s="279"/>
      <c r="C16" s="279"/>
      <c r="D16" s="279"/>
      <c r="E16" s="279"/>
      <c r="F16" s="279"/>
      <c r="G16" s="282" t="s">
        <v>59</v>
      </c>
      <c r="H16" s="282"/>
      <c r="I16" s="282"/>
      <c r="J16" s="282"/>
      <c r="K16" s="282"/>
      <c r="L16" s="282"/>
      <c r="M16" s="282"/>
      <c r="N16" s="282"/>
      <c r="O16" s="282"/>
      <c r="P16" s="48"/>
      <c r="Q16" s="284" t="s">
        <v>17</v>
      </c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5"/>
      <c r="BA16" s="26" t="s">
        <v>129</v>
      </c>
      <c r="BB16" s="26">
        <v>10</v>
      </c>
      <c r="BE16" s="24" t="s">
        <v>194</v>
      </c>
      <c r="BF16" s="24">
        <v>5003</v>
      </c>
      <c r="BQ16" s="26" t="s">
        <v>76</v>
      </c>
      <c r="BR16" s="27">
        <v>200024</v>
      </c>
    </row>
    <row r="17" spans="1:70" ht="13.5">
      <c r="A17" s="280"/>
      <c r="B17" s="281"/>
      <c r="C17" s="281"/>
      <c r="D17" s="281"/>
      <c r="E17" s="281"/>
      <c r="F17" s="281"/>
      <c r="G17" s="283"/>
      <c r="H17" s="283"/>
      <c r="I17" s="283"/>
      <c r="J17" s="283"/>
      <c r="K17" s="283"/>
      <c r="L17" s="283"/>
      <c r="M17" s="283"/>
      <c r="N17" s="283"/>
      <c r="O17" s="283"/>
      <c r="P17" s="49" t="s">
        <v>18</v>
      </c>
      <c r="Q17" s="50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  <c r="AV17" s="286" t="s">
        <v>20</v>
      </c>
      <c r="AW17" s="287"/>
      <c r="BA17" s="26" t="s">
        <v>63</v>
      </c>
      <c r="BB17" s="26">
        <v>10.21</v>
      </c>
      <c r="BE17" s="24" t="s">
        <v>116</v>
      </c>
      <c r="BF17" s="24">
        <v>5003</v>
      </c>
      <c r="BG17" s="24">
        <f>R9</f>
        <v>0</v>
      </c>
      <c r="BH17" s="24" t="e">
        <f>VLOOKUP(BG17,$BE$16:$BF$23,2,FALSE)</f>
        <v>#N/A</v>
      </c>
      <c r="BQ17" s="26" t="s">
        <v>77</v>
      </c>
      <c r="BR17" s="27">
        <v>200032</v>
      </c>
    </row>
    <row r="18" spans="1:70" ht="13.5" customHeight="1">
      <c r="A18" s="280"/>
      <c r="B18" s="281"/>
      <c r="C18" s="281"/>
      <c r="D18" s="281"/>
      <c r="E18" s="281"/>
      <c r="F18" s="281"/>
      <c r="G18" s="283"/>
      <c r="H18" s="283"/>
      <c r="I18" s="283"/>
      <c r="J18" s="283"/>
      <c r="K18" s="283"/>
      <c r="L18" s="283"/>
      <c r="M18" s="283"/>
      <c r="N18" s="283"/>
      <c r="O18" s="283"/>
      <c r="P18" s="53" t="s">
        <v>19</v>
      </c>
      <c r="Q18" s="54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6"/>
      <c r="AV18" s="288"/>
      <c r="AW18" s="289"/>
      <c r="BA18" s="57" t="s">
        <v>54</v>
      </c>
      <c r="BB18" s="26">
        <v>10.14</v>
      </c>
      <c r="BE18" s="24" t="s">
        <v>117</v>
      </c>
      <c r="BF18" s="24">
        <v>10473</v>
      </c>
      <c r="BG18" s="24">
        <f>R12</f>
        <v>0</v>
      </c>
      <c r="BH18" s="24" t="e">
        <f>VLOOKUP(BG18,$BE$16:$BF$23,2,FALSE)</f>
        <v>#N/A</v>
      </c>
      <c r="BQ18" s="26" t="s">
        <v>78</v>
      </c>
      <c r="BR18" s="27">
        <v>600025</v>
      </c>
    </row>
    <row r="19" spans="1:70" ht="18.75" customHeight="1">
      <c r="A19" s="258"/>
      <c r="B19" s="259"/>
      <c r="C19" s="259"/>
      <c r="D19" s="259"/>
      <c r="E19" s="259"/>
      <c r="F19" s="260"/>
      <c r="G19" s="264"/>
      <c r="H19" s="265"/>
      <c r="I19" s="265"/>
      <c r="J19" s="265"/>
      <c r="K19" s="265"/>
      <c r="L19" s="265"/>
      <c r="M19" s="265"/>
      <c r="N19" s="265"/>
      <c r="O19" s="266"/>
      <c r="P19" s="58" t="s">
        <v>21</v>
      </c>
      <c r="Q19" s="59"/>
      <c r="R19" s="60"/>
      <c r="S19" s="60"/>
      <c r="T19" s="60"/>
      <c r="U19" s="60"/>
      <c r="V19" s="60"/>
      <c r="W19" s="60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267"/>
      <c r="AW19" s="268"/>
      <c r="AX19" s="61" t="e">
        <f>VLOOKUP(A19,#REF!,2,FALSE)</f>
        <v>#REF!</v>
      </c>
      <c r="AY19" s="24">
        <f>COUNTIF(A19,"*加算*")</f>
        <v>0</v>
      </c>
      <c r="AZ19" s="24" t="e">
        <f>VLOOKUP(A19,#REF!,5,FALSE)</f>
        <v>#REF!</v>
      </c>
      <c r="BA19" s="57" t="s">
        <v>55</v>
      </c>
      <c r="BB19" s="26">
        <v>10.17</v>
      </c>
      <c r="BC19" s="24" t="e">
        <f>IF((LEFT(AX19,2))="67",1,0)</f>
        <v>#REF!</v>
      </c>
      <c r="BD19" s="24">
        <f>COUNTIF(A19,"*減算*")</f>
        <v>0</v>
      </c>
      <c r="BE19" s="24" t="s">
        <v>118</v>
      </c>
      <c r="BF19" s="24">
        <v>16692</v>
      </c>
      <c r="BH19" s="24" t="e">
        <f>IF(BH17&gt;=BH18,BH17,BH18)</f>
        <v>#N/A</v>
      </c>
      <c r="BQ19" s="26" t="s">
        <v>79</v>
      </c>
      <c r="BR19" s="27">
        <v>600033</v>
      </c>
    </row>
    <row r="20" spans="1:70" ht="18.75" customHeight="1">
      <c r="A20" s="261"/>
      <c r="B20" s="262"/>
      <c r="C20" s="262"/>
      <c r="D20" s="262"/>
      <c r="E20" s="262"/>
      <c r="F20" s="263"/>
      <c r="G20" s="269">
        <f>IF(G19="","",VLOOKUP($G19,#REF!,2,0))</f>
      </c>
      <c r="H20" s="270"/>
      <c r="I20" s="270"/>
      <c r="J20" s="270"/>
      <c r="K20" s="270"/>
      <c r="L20" s="270"/>
      <c r="M20" s="270"/>
      <c r="N20" s="270"/>
      <c r="O20" s="271"/>
      <c r="P20" s="62" t="s">
        <v>22</v>
      </c>
      <c r="Q20" s="63"/>
      <c r="R20" s="64"/>
      <c r="S20" s="64"/>
      <c r="T20" s="64"/>
      <c r="U20" s="64"/>
      <c r="V20" s="64"/>
      <c r="W20" s="6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276"/>
      <c r="AW20" s="277"/>
      <c r="BA20" s="57" t="s">
        <v>56</v>
      </c>
      <c r="BB20" s="26">
        <v>10.21</v>
      </c>
      <c r="BE20" s="24" t="s">
        <v>119</v>
      </c>
      <c r="BF20" s="24">
        <v>19616</v>
      </c>
      <c r="BQ20" s="26" t="s">
        <v>80</v>
      </c>
      <c r="BR20" s="27">
        <v>700023</v>
      </c>
    </row>
    <row r="21" spans="1:70" ht="18.75" customHeight="1">
      <c r="A21" s="258"/>
      <c r="B21" s="259"/>
      <c r="C21" s="259"/>
      <c r="D21" s="259"/>
      <c r="E21" s="259"/>
      <c r="F21" s="260"/>
      <c r="G21" s="264"/>
      <c r="H21" s="265"/>
      <c r="I21" s="265"/>
      <c r="J21" s="265"/>
      <c r="K21" s="265"/>
      <c r="L21" s="265"/>
      <c r="M21" s="265"/>
      <c r="N21" s="265"/>
      <c r="O21" s="266"/>
      <c r="P21" s="58" t="s">
        <v>21</v>
      </c>
      <c r="Q21" s="59"/>
      <c r="R21" s="60"/>
      <c r="S21" s="60"/>
      <c r="T21" s="60"/>
      <c r="U21" s="60"/>
      <c r="V21" s="60"/>
      <c r="W21" s="60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267"/>
      <c r="AW21" s="268"/>
      <c r="AX21" s="61" t="e">
        <f>VLOOKUP(A21,#REF!,2,FALSE)</f>
        <v>#REF!</v>
      </c>
      <c r="AY21" s="24">
        <f>COUNTIF(A21,"*加算*")</f>
        <v>0</v>
      </c>
      <c r="AZ21" s="24" t="e">
        <f>VLOOKUP(A21,#REF!,5,FALSE)</f>
        <v>#REF!</v>
      </c>
      <c r="BA21" s="57" t="s">
        <v>57</v>
      </c>
      <c r="BB21" s="26">
        <v>10.17</v>
      </c>
      <c r="BC21" s="24" t="e">
        <f>IF((LEFT(AX21,2))="67",1,0)</f>
        <v>#REF!</v>
      </c>
      <c r="BD21" s="24">
        <f>COUNTIF(A21,"*減算*")</f>
        <v>0</v>
      </c>
      <c r="BE21" s="24" t="s">
        <v>120</v>
      </c>
      <c r="BF21" s="24">
        <v>26931</v>
      </c>
      <c r="BQ21" s="26" t="s">
        <v>81</v>
      </c>
      <c r="BR21" s="27">
        <v>700031</v>
      </c>
    </row>
    <row r="22" spans="1:70" ht="18.75" customHeight="1">
      <c r="A22" s="261"/>
      <c r="B22" s="262"/>
      <c r="C22" s="262"/>
      <c r="D22" s="262"/>
      <c r="E22" s="262"/>
      <c r="F22" s="263"/>
      <c r="G22" s="269">
        <f>IF(G21="","",VLOOKUP($G21,#REF!,2,0))</f>
      </c>
      <c r="H22" s="270"/>
      <c r="I22" s="270"/>
      <c r="J22" s="270"/>
      <c r="K22" s="270"/>
      <c r="L22" s="270"/>
      <c r="M22" s="270"/>
      <c r="N22" s="270"/>
      <c r="O22" s="271"/>
      <c r="P22" s="62" t="s">
        <v>22</v>
      </c>
      <c r="Q22" s="63"/>
      <c r="R22" s="64"/>
      <c r="S22" s="64"/>
      <c r="T22" s="64"/>
      <c r="U22" s="64"/>
      <c r="V22" s="64"/>
      <c r="W22" s="6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276"/>
      <c r="AW22" s="277"/>
      <c r="BA22" s="57" t="s">
        <v>135</v>
      </c>
      <c r="BB22" s="26">
        <v>10.14</v>
      </c>
      <c r="BE22" s="24" t="s">
        <v>121</v>
      </c>
      <c r="BF22" s="24">
        <v>30806</v>
      </c>
      <c r="BQ22" s="26" t="s">
        <v>82</v>
      </c>
      <c r="BR22" s="27">
        <v>700049</v>
      </c>
    </row>
    <row r="23" spans="1:70" ht="18.75" customHeight="1">
      <c r="A23" s="258"/>
      <c r="B23" s="259"/>
      <c r="C23" s="259"/>
      <c r="D23" s="259"/>
      <c r="E23" s="259"/>
      <c r="F23" s="260"/>
      <c r="G23" s="264"/>
      <c r="H23" s="265"/>
      <c r="I23" s="265"/>
      <c r="J23" s="265"/>
      <c r="K23" s="265"/>
      <c r="L23" s="265"/>
      <c r="M23" s="265"/>
      <c r="N23" s="265"/>
      <c r="O23" s="266"/>
      <c r="P23" s="58" t="s">
        <v>21</v>
      </c>
      <c r="Q23" s="59"/>
      <c r="R23" s="60"/>
      <c r="S23" s="60"/>
      <c r="T23" s="60"/>
      <c r="U23" s="60"/>
      <c r="V23" s="60"/>
      <c r="W23" s="60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267"/>
      <c r="AW23" s="268"/>
      <c r="AX23" s="61" t="e">
        <f>VLOOKUP(A23,#REF!,2,FALSE)</f>
        <v>#REF!</v>
      </c>
      <c r="AY23" s="24">
        <f>COUNTIF(A23,"*加算*")</f>
        <v>0</v>
      </c>
      <c r="AZ23" s="24" t="e">
        <f>VLOOKUP(A23,#REF!,5,FALSE)</f>
        <v>#REF!</v>
      </c>
      <c r="BA23" s="65" t="s">
        <v>123</v>
      </c>
      <c r="BB23" s="26">
        <v>10.21</v>
      </c>
      <c r="BC23" s="24" t="e">
        <f>IF((LEFT(AX23,2))="67",1,0)</f>
        <v>#REF!</v>
      </c>
      <c r="BD23" s="24">
        <f>COUNTIF(A23,"*減算*")</f>
        <v>0</v>
      </c>
      <c r="BE23" s="24" t="s">
        <v>122</v>
      </c>
      <c r="BF23" s="24">
        <v>36065</v>
      </c>
      <c r="BQ23" s="26" t="s">
        <v>83</v>
      </c>
      <c r="BR23" s="27">
        <v>700056</v>
      </c>
    </row>
    <row r="24" spans="1:70" ht="18.75" customHeight="1">
      <c r="A24" s="261"/>
      <c r="B24" s="262"/>
      <c r="C24" s="262"/>
      <c r="D24" s="262"/>
      <c r="E24" s="262"/>
      <c r="F24" s="263"/>
      <c r="G24" s="269">
        <f>IF(G23="","",VLOOKUP($G23,#REF!,2,0))</f>
      </c>
      <c r="H24" s="270"/>
      <c r="I24" s="270"/>
      <c r="J24" s="270"/>
      <c r="K24" s="270"/>
      <c r="L24" s="270"/>
      <c r="M24" s="270"/>
      <c r="N24" s="270"/>
      <c r="O24" s="271"/>
      <c r="P24" s="62" t="s">
        <v>22</v>
      </c>
      <c r="Q24" s="63"/>
      <c r="R24" s="64"/>
      <c r="S24" s="64"/>
      <c r="T24" s="64"/>
      <c r="U24" s="64"/>
      <c r="V24" s="64"/>
      <c r="W24" s="6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276"/>
      <c r="AW24" s="277"/>
      <c r="BA24" s="65" t="s">
        <v>124</v>
      </c>
      <c r="BB24" s="26">
        <v>10.21</v>
      </c>
      <c r="BQ24" s="26" t="s">
        <v>84</v>
      </c>
      <c r="BR24" s="27">
        <v>700064</v>
      </c>
    </row>
    <row r="25" spans="1:70" ht="18.75" customHeight="1">
      <c r="A25" s="258"/>
      <c r="B25" s="259"/>
      <c r="C25" s="259"/>
      <c r="D25" s="259"/>
      <c r="E25" s="259"/>
      <c r="F25" s="260"/>
      <c r="G25" s="264"/>
      <c r="H25" s="265"/>
      <c r="I25" s="265"/>
      <c r="J25" s="265"/>
      <c r="K25" s="265"/>
      <c r="L25" s="265"/>
      <c r="M25" s="265"/>
      <c r="N25" s="265"/>
      <c r="O25" s="266"/>
      <c r="P25" s="58" t="s">
        <v>21</v>
      </c>
      <c r="Q25" s="59"/>
      <c r="R25" s="60"/>
      <c r="S25" s="60"/>
      <c r="T25" s="60"/>
      <c r="U25" s="60"/>
      <c r="V25" s="60"/>
      <c r="W25" s="60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267"/>
      <c r="AW25" s="268"/>
      <c r="AX25" s="61" t="e">
        <f>VLOOKUP(A25,#REF!,2,FALSE)</f>
        <v>#REF!</v>
      </c>
      <c r="AY25" s="24">
        <f>COUNTIF(A25,"*加算*")</f>
        <v>0</v>
      </c>
      <c r="AZ25" s="24" t="e">
        <f>VLOOKUP(A25,#REF!,5,FALSE)</f>
        <v>#REF!</v>
      </c>
      <c r="BA25" s="65" t="s">
        <v>125</v>
      </c>
      <c r="BB25" s="26">
        <v>10.21</v>
      </c>
      <c r="BC25" s="24" t="e">
        <f>IF((LEFT(AX25,2))="67",1,0)</f>
        <v>#REF!</v>
      </c>
      <c r="BD25" s="24">
        <f>COUNTIF(A25,"*減算*")</f>
        <v>0</v>
      </c>
      <c r="BQ25" s="26" t="s">
        <v>85</v>
      </c>
      <c r="BR25" s="27">
        <v>700072</v>
      </c>
    </row>
    <row r="26" spans="1:70" ht="18.75" customHeight="1">
      <c r="A26" s="261"/>
      <c r="B26" s="262"/>
      <c r="C26" s="262"/>
      <c r="D26" s="262"/>
      <c r="E26" s="262"/>
      <c r="F26" s="263"/>
      <c r="G26" s="269">
        <f>IF(G25="","",VLOOKUP($G25,#REF!,2,0))</f>
      </c>
      <c r="H26" s="270"/>
      <c r="I26" s="270"/>
      <c r="J26" s="270"/>
      <c r="K26" s="270"/>
      <c r="L26" s="270"/>
      <c r="M26" s="270"/>
      <c r="N26" s="270"/>
      <c r="O26" s="271"/>
      <c r="P26" s="62" t="s">
        <v>22</v>
      </c>
      <c r="Q26" s="63"/>
      <c r="R26" s="64"/>
      <c r="S26" s="64"/>
      <c r="T26" s="64"/>
      <c r="U26" s="64"/>
      <c r="V26" s="64"/>
      <c r="W26" s="6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276"/>
      <c r="AW26" s="277"/>
      <c r="BA26" s="65" t="s">
        <v>126</v>
      </c>
      <c r="BB26" s="26">
        <v>10.21</v>
      </c>
      <c r="BQ26" s="26" t="s">
        <v>86</v>
      </c>
      <c r="BR26" s="27">
        <v>300022</v>
      </c>
    </row>
    <row r="27" spans="1:70" ht="18.75" customHeight="1">
      <c r="A27" s="258"/>
      <c r="B27" s="259"/>
      <c r="C27" s="259"/>
      <c r="D27" s="259"/>
      <c r="E27" s="259"/>
      <c r="F27" s="260"/>
      <c r="G27" s="264"/>
      <c r="H27" s="265"/>
      <c r="I27" s="265"/>
      <c r="J27" s="265"/>
      <c r="K27" s="265"/>
      <c r="L27" s="265"/>
      <c r="M27" s="265"/>
      <c r="N27" s="265"/>
      <c r="O27" s="266"/>
      <c r="P27" s="58" t="s">
        <v>21</v>
      </c>
      <c r="Q27" s="59"/>
      <c r="R27" s="60"/>
      <c r="S27" s="60"/>
      <c r="T27" s="60"/>
      <c r="U27" s="60"/>
      <c r="V27" s="60"/>
      <c r="W27" s="60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267"/>
      <c r="AW27" s="268"/>
      <c r="AX27" s="61" t="e">
        <f>VLOOKUP(A27,#REF!,2,FALSE)</f>
        <v>#REF!</v>
      </c>
      <c r="AY27" s="24">
        <f>COUNTIF(A27,"*加算*")</f>
        <v>0</v>
      </c>
      <c r="AZ27" s="24" t="e">
        <f>VLOOKUP(A27,#REF!,5,FALSE)</f>
        <v>#REF!</v>
      </c>
      <c r="BA27" s="24">
        <v>0</v>
      </c>
      <c r="BB27" s="2">
        <v>0</v>
      </c>
      <c r="BC27" s="24" t="e">
        <f>IF((LEFT(AX27,2))="67",1,0)</f>
        <v>#REF!</v>
      </c>
      <c r="BD27" s="24">
        <f>COUNTIF(A27,"*減算*")</f>
        <v>0</v>
      </c>
      <c r="BQ27" s="26" t="s">
        <v>87</v>
      </c>
      <c r="BR27" s="27">
        <v>300030</v>
      </c>
    </row>
    <row r="28" spans="1:49" ht="18.75" customHeight="1">
      <c r="A28" s="261"/>
      <c r="B28" s="262"/>
      <c r="C28" s="262"/>
      <c r="D28" s="262"/>
      <c r="E28" s="262"/>
      <c r="F28" s="263"/>
      <c r="G28" s="269">
        <f>IF(G27="","",VLOOKUP($G27,#REF!,2,0))</f>
      </c>
      <c r="H28" s="270"/>
      <c r="I28" s="270"/>
      <c r="J28" s="270"/>
      <c r="K28" s="270"/>
      <c r="L28" s="270"/>
      <c r="M28" s="270"/>
      <c r="N28" s="270"/>
      <c r="O28" s="271"/>
      <c r="P28" s="62" t="s">
        <v>22</v>
      </c>
      <c r="Q28" s="63"/>
      <c r="R28" s="64"/>
      <c r="S28" s="64"/>
      <c r="T28" s="64"/>
      <c r="U28" s="64"/>
      <c r="V28" s="64"/>
      <c r="W28" s="6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276"/>
      <c r="AW28" s="277"/>
    </row>
    <row r="29" spans="1:56" ht="18.75" customHeight="1">
      <c r="A29" s="258"/>
      <c r="B29" s="259"/>
      <c r="C29" s="259"/>
      <c r="D29" s="259"/>
      <c r="E29" s="259"/>
      <c r="F29" s="260"/>
      <c r="G29" s="264"/>
      <c r="H29" s="265"/>
      <c r="I29" s="265"/>
      <c r="J29" s="265"/>
      <c r="K29" s="265"/>
      <c r="L29" s="265"/>
      <c r="M29" s="265"/>
      <c r="N29" s="265"/>
      <c r="O29" s="266"/>
      <c r="P29" s="58" t="s">
        <v>21</v>
      </c>
      <c r="Q29" s="59"/>
      <c r="R29" s="60"/>
      <c r="S29" s="60"/>
      <c r="T29" s="60"/>
      <c r="U29" s="60"/>
      <c r="V29" s="60"/>
      <c r="W29" s="60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267"/>
      <c r="AW29" s="268"/>
      <c r="AX29" s="61" t="e">
        <f>VLOOKUP(A29,#REF!,2,FALSE)</f>
        <v>#REF!</v>
      </c>
      <c r="AY29" s="24">
        <f>COUNTIF(A29,"*加算*")</f>
        <v>0</v>
      </c>
      <c r="AZ29" s="24" t="e">
        <f>VLOOKUP(A29,#REF!,5,FALSE)</f>
        <v>#REF!</v>
      </c>
      <c r="BC29" s="24" t="e">
        <f>IF((LEFT(AX29,2))="67",1,0)</f>
        <v>#REF!</v>
      </c>
      <c r="BD29" s="24">
        <f>COUNTIF(A29,"*減算*")</f>
        <v>0</v>
      </c>
    </row>
    <row r="30" spans="1:49" ht="18.75" customHeight="1">
      <c r="A30" s="261"/>
      <c r="B30" s="262"/>
      <c r="C30" s="262"/>
      <c r="D30" s="262"/>
      <c r="E30" s="262"/>
      <c r="F30" s="263"/>
      <c r="G30" s="269">
        <f>IF(G29="","",VLOOKUP($G29,#REF!,2,0))</f>
      </c>
      <c r="H30" s="270"/>
      <c r="I30" s="270"/>
      <c r="J30" s="270"/>
      <c r="K30" s="270"/>
      <c r="L30" s="270"/>
      <c r="M30" s="270"/>
      <c r="N30" s="270"/>
      <c r="O30" s="271"/>
      <c r="P30" s="62" t="s">
        <v>22</v>
      </c>
      <c r="Q30" s="63"/>
      <c r="R30" s="64"/>
      <c r="S30" s="64"/>
      <c r="T30" s="64"/>
      <c r="U30" s="64"/>
      <c r="V30" s="64"/>
      <c r="W30" s="6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276"/>
      <c r="AW30" s="277"/>
    </row>
    <row r="31" spans="1:56" ht="18.75" customHeight="1">
      <c r="A31" s="258"/>
      <c r="B31" s="259"/>
      <c r="C31" s="259"/>
      <c r="D31" s="259"/>
      <c r="E31" s="259"/>
      <c r="F31" s="260"/>
      <c r="G31" s="264"/>
      <c r="H31" s="265"/>
      <c r="I31" s="265"/>
      <c r="J31" s="265"/>
      <c r="K31" s="265"/>
      <c r="L31" s="265"/>
      <c r="M31" s="265"/>
      <c r="N31" s="265"/>
      <c r="O31" s="266"/>
      <c r="P31" s="66" t="s">
        <v>21</v>
      </c>
      <c r="Q31" s="59"/>
      <c r="R31" s="60"/>
      <c r="S31" s="60"/>
      <c r="T31" s="60"/>
      <c r="U31" s="60"/>
      <c r="V31" s="60"/>
      <c r="W31" s="60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267"/>
      <c r="AW31" s="268"/>
      <c r="AX31" s="61" t="e">
        <f>VLOOKUP(A31,#REF!,2,FALSE)</f>
        <v>#REF!</v>
      </c>
      <c r="AY31" s="24">
        <f>COUNTIF(A31,"*加算*")</f>
        <v>0</v>
      </c>
      <c r="AZ31" s="24" t="e">
        <f>VLOOKUP(A31,#REF!,5,FALSE)</f>
        <v>#REF!</v>
      </c>
      <c r="BC31" s="24" t="e">
        <f>IF((LEFT(AX31,2))="67",1,0)</f>
        <v>#REF!</v>
      </c>
      <c r="BD31" s="24">
        <f>COUNTIF(A31,"*減算*")</f>
        <v>0</v>
      </c>
    </row>
    <row r="32" spans="1:49" ht="18.75" customHeight="1">
      <c r="A32" s="261"/>
      <c r="B32" s="262"/>
      <c r="C32" s="262"/>
      <c r="D32" s="262"/>
      <c r="E32" s="262"/>
      <c r="F32" s="263"/>
      <c r="G32" s="269">
        <f>IF(G31="","",VLOOKUP($G31,#REF!,2,0))</f>
      </c>
      <c r="H32" s="270"/>
      <c r="I32" s="270"/>
      <c r="J32" s="270"/>
      <c r="K32" s="270"/>
      <c r="L32" s="270"/>
      <c r="M32" s="270"/>
      <c r="N32" s="270"/>
      <c r="O32" s="271"/>
      <c r="P32" s="67" t="s">
        <v>22</v>
      </c>
      <c r="Q32" s="63"/>
      <c r="R32" s="64"/>
      <c r="S32" s="64"/>
      <c r="T32" s="64"/>
      <c r="U32" s="64"/>
      <c r="V32" s="64"/>
      <c r="W32" s="64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8"/>
      <c r="AV32" s="276"/>
      <c r="AW32" s="277"/>
    </row>
    <row r="33" spans="1:56" ht="18.75" customHeight="1">
      <c r="A33" s="258"/>
      <c r="B33" s="259"/>
      <c r="C33" s="259"/>
      <c r="D33" s="259"/>
      <c r="E33" s="259"/>
      <c r="F33" s="260"/>
      <c r="G33" s="264"/>
      <c r="H33" s="265"/>
      <c r="I33" s="265"/>
      <c r="J33" s="265"/>
      <c r="K33" s="265"/>
      <c r="L33" s="265"/>
      <c r="M33" s="265"/>
      <c r="N33" s="265"/>
      <c r="O33" s="266"/>
      <c r="P33" s="66" t="s">
        <v>21</v>
      </c>
      <c r="Q33" s="59"/>
      <c r="R33" s="60"/>
      <c r="S33" s="60"/>
      <c r="T33" s="60"/>
      <c r="U33" s="60"/>
      <c r="V33" s="60"/>
      <c r="W33" s="60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267"/>
      <c r="AW33" s="268"/>
      <c r="AX33" s="61" t="e">
        <f>VLOOKUP(A33,#REF!,2,FALSE)</f>
        <v>#REF!</v>
      </c>
      <c r="AY33" s="24">
        <f>COUNTIF(A33,"*加算*")</f>
        <v>0</v>
      </c>
      <c r="AZ33" s="24" t="e">
        <f>VLOOKUP(A33,#REF!,5,FALSE)</f>
        <v>#REF!</v>
      </c>
      <c r="BC33" s="24" t="e">
        <f>IF((LEFT(AX33,2))="67",1,0)</f>
        <v>#REF!</v>
      </c>
      <c r="BD33" s="24">
        <f>COUNTIF(A33,"*減算*")</f>
        <v>0</v>
      </c>
    </row>
    <row r="34" spans="1:49" ht="18.75" customHeight="1" thickBot="1">
      <c r="A34" s="261"/>
      <c r="B34" s="262"/>
      <c r="C34" s="262"/>
      <c r="D34" s="262"/>
      <c r="E34" s="262"/>
      <c r="F34" s="263"/>
      <c r="G34" s="269">
        <f>IF(G33="","",VLOOKUP($G33,#REF!,2,0))</f>
      </c>
      <c r="H34" s="270"/>
      <c r="I34" s="270"/>
      <c r="J34" s="270"/>
      <c r="K34" s="270"/>
      <c r="L34" s="270"/>
      <c r="M34" s="270"/>
      <c r="N34" s="270"/>
      <c r="O34" s="271"/>
      <c r="P34" s="68" t="s">
        <v>22</v>
      </c>
      <c r="Q34" s="69"/>
      <c r="R34" s="70"/>
      <c r="S34" s="70"/>
      <c r="T34" s="70"/>
      <c r="U34" s="70"/>
      <c r="V34" s="70"/>
      <c r="W34" s="70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7"/>
      <c r="AV34" s="272"/>
      <c r="AW34" s="273"/>
    </row>
    <row r="35" spans="1:49" ht="18.75" customHeight="1" thickBot="1">
      <c r="A35" s="71" t="s">
        <v>52</v>
      </c>
      <c r="B35" s="21"/>
      <c r="C35" s="21"/>
      <c r="D35" s="21"/>
      <c r="E35" s="21"/>
      <c r="F35" s="21"/>
      <c r="G35" s="21"/>
      <c r="H35" s="21"/>
      <c r="I35" s="72"/>
      <c r="J35" s="21"/>
      <c r="K35" s="21"/>
      <c r="L35" s="21"/>
      <c r="M35" s="73"/>
      <c r="N35" s="73"/>
      <c r="O35" s="73"/>
      <c r="P35" s="73"/>
      <c r="Q35" s="73"/>
      <c r="R35" s="21"/>
      <c r="S35" s="21"/>
      <c r="T35" s="21"/>
      <c r="U35" s="74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64" s="75" customFormat="1" ht="15.75" customHeight="1">
      <c r="A36" s="274" t="s">
        <v>25</v>
      </c>
      <c r="B36" s="252"/>
      <c r="C36" s="252"/>
      <c r="D36" s="252"/>
      <c r="E36" s="252"/>
      <c r="F36" s="252" t="s">
        <v>26</v>
      </c>
      <c r="G36" s="252"/>
      <c r="H36" s="252"/>
      <c r="I36" s="252"/>
      <c r="J36" s="252" t="s">
        <v>27</v>
      </c>
      <c r="K36" s="252"/>
      <c r="L36" s="252"/>
      <c r="M36" s="252"/>
      <c r="N36" s="252"/>
      <c r="O36" s="252"/>
      <c r="P36" s="252" t="s">
        <v>28</v>
      </c>
      <c r="Q36" s="252"/>
      <c r="R36" s="252"/>
      <c r="S36" s="252" t="s">
        <v>29</v>
      </c>
      <c r="T36" s="252"/>
      <c r="U36" s="252" t="s">
        <v>30</v>
      </c>
      <c r="V36" s="252"/>
      <c r="W36" s="252" t="s">
        <v>32</v>
      </c>
      <c r="X36" s="254" t="s">
        <v>58</v>
      </c>
      <c r="Y36" s="254"/>
      <c r="Z36" s="246" t="s">
        <v>90</v>
      </c>
      <c r="AA36" s="256"/>
      <c r="AB36" s="246" t="s">
        <v>89</v>
      </c>
      <c r="AC36" s="246"/>
      <c r="AD36" s="246" t="s">
        <v>91</v>
      </c>
      <c r="AE36" s="246"/>
      <c r="AF36" s="242" t="s">
        <v>33</v>
      </c>
      <c r="AG36" s="242"/>
      <c r="AH36" s="242"/>
      <c r="AI36" s="244" t="s">
        <v>35</v>
      </c>
      <c r="AJ36" s="244"/>
      <c r="AK36" s="246" t="s">
        <v>39</v>
      </c>
      <c r="AL36" s="246"/>
      <c r="AM36" s="246"/>
      <c r="AN36" s="248" t="s">
        <v>36</v>
      </c>
      <c r="AO36" s="248"/>
      <c r="AP36" s="250" t="s">
        <v>34</v>
      </c>
      <c r="AQ36" s="250"/>
      <c r="AR36" s="250"/>
      <c r="AS36" s="246" t="s">
        <v>37</v>
      </c>
      <c r="AT36" s="246"/>
      <c r="AU36" s="246"/>
      <c r="AV36" s="238" t="s">
        <v>38</v>
      </c>
      <c r="AW36" s="239"/>
      <c r="AZ36" s="24"/>
      <c r="BC36" s="76" t="s">
        <v>145</v>
      </c>
      <c r="BF36" s="76" t="s">
        <v>145</v>
      </c>
      <c r="BG36" s="24" t="s">
        <v>147</v>
      </c>
      <c r="BH36" s="76" t="s">
        <v>145</v>
      </c>
      <c r="BL36" s="75" t="s">
        <v>149</v>
      </c>
    </row>
    <row r="37" spans="1:70" ht="15.75" customHeight="1">
      <c r="A37" s="275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19" t="s">
        <v>31</v>
      </c>
      <c r="V37" s="19" t="s">
        <v>29</v>
      </c>
      <c r="W37" s="253"/>
      <c r="X37" s="255"/>
      <c r="Y37" s="255"/>
      <c r="Z37" s="257"/>
      <c r="AA37" s="257"/>
      <c r="AB37" s="247"/>
      <c r="AC37" s="247"/>
      <c r="AD37" s="247"/>
      <c r="AE37" s="247"/>
      <c r="AF37" s="243"/>
      <c r="AG37" s="243"/>
      <c r="AH37" s="243"/>
      <c r="AI37" s="245"/>
      <c r="AJ37" s="245"/>
      <c r="AK37" s="247"/>
      <c r="AL37" s="247"/>
      <c r="AM37" s="247"/>
      <c r="AN37" s="249"/>
      <c r="AO37" s="249"/>
      <c r="AP37" s="251"/>
      <c r="AQ37" s="251"/>
      <c r="AR37" s="251"/>
      <c r="AS37" s="247"/>
      <c r="AT37" s="247"/>
      <c r="AU37" s="247"/>
      <c r="AV37" s="240"/>
      <c r="AW37" s="241"/>
      <c r="AY37" s="24" t="s">
        <v>147</v>
      </c>
      <c r="AZ37" s="18" t="s">
        <v>153</v>
      </c>
      <c r="BC37" s="24" t="s">
        <v>148</v>
      </c>
      <c r="BF37" s="24" t="s">
        <v>146</v>
      </c>
      <c r="BG37" s="24" t="s">
        <v>148</v>
      </c>
      <c r="BH37" s="24" t="s">
        <v>162</v>
      </c>
      <c r="BI37" s="24" t="s">
        <v>6</v>
      </c>
      <c r="BJ37" s="24" t="s">
        <v>49</v>
      </c>
      <c r="BK37" s="24" t="s">
        <v>40</v>
      </c>
      <c r="BL37" s="24" t="s">
        <v>130</v>
      </c>
      <c r="BM37" s="24" t="s">
        <v>144</v>
      </c>
      <c r="BN37" s="24" t="s">
        <v>131</v>
      </c>
      <c r="BO37" s="24" t="s">
        <v>154</v>
      </c>
      <c r="BP37" s="24" t="s">
        <v>156</v>
      </c>
      <c r="BQ37" s="24" t="s">
        <v>155</v>
      </c>
      <c r="BR37" s="24" t="s">
        <v>157</v>
      </c>
    </row>
    <row r="38" spans="1:70" ht="18" customHeight="1">
      <c r="A38" s="227"/>
      <c r="B38" s="228"/>
      <c r="C38" s="228"/>
      <c r="D38" s="228"/>
      <c r="E38" s="229"/>
      <c r="F38" s="224"/>
      <c r="G38" s="224"/>
      <c r="H38" s="224"/>
      <c r="I38" s="224"/>
      <c r="J38" s="137"/>
      <c r="K38" s="137"/>
      <c r="L38" s="137"/>
      <c r="M38" s="137"/>
      <c r="N38" s="137"/>
      <c r="O38" s="137"/>
      <c r="P38" s="230"/>
      <c r="Q38" s="230"/>
      <c r="R38" s="230"/>
      <c r="S38" s="231"/>
      <c r="T38" s="231"/>
      <c r="U38" s="224"/>
      <c r="V38" s="224"/>
      <c r="W38" s="224"/>
      <c r="X38" s="225"/>
      <c r="Y38" s="226"/>
      <c r="Z38" s="224"/>
      <c r="AA38" s="224"/>
      <c r="AB38" s="224"/>
      <c r="AC38" s="224"/>
      <c r="AD38" s="202"/>
      <c r="AE38" s="209"/>
      <c r="AF38" s="207"/>
      <c r="AG38" s="208"/>
      <c r="AH38" s="209"/>
      <c r="AI38" s="210"/>
      <c r="AJ38" s="211"/>
      <c r="AK38" s="214"/>
      <c r="AL38" s="215"/>
      <c r="AM38" s="216"/>
      <c r="AN38" s="217"/>
      <c r="AO38" s="218"/>
      <c r="AP38" s="214"/>
      <c r="AQ38" s="215"/>
      <c r="AR38" s="216"/>
      <c r="AS38" s="214"/>
      <c r="AT38" s="215"/>
      <c r="AU38" s="216"/>
      <c r="AV38" s="202"/>
      <c r="AW38" s="203"/>
      <c r="AX38" s="24">
        <f>IF(ISERROR(MATCH(J38,$AF$67:$AF$110,0)),0,MATCH(J38,$AF$67:$AF$110,0))</f>
        <v>0</v>
      </c>
      <c r="AY38" s="24">
        <f>IF(ISERROR(VLOOKUP(J38,$AF$67:$AG$110,2,FALSE)),0,VLOOKUP(J38,$AF$67:$AG$110,2,FALSE))</f>
        <v>0</v>
      </c>
      <c r="AZ38" s="1">
        <f>IF(ISERROR(AY38*W38),0,AY38*W38)</f>
        <v>0</v>
      </c>
      <c r="BA38" s="57">
        <f>IF(F38="",0,VLOOKUP(#REF!,#REF!,5,0))</f>
        <v>0</v>
      </c>
      <c r="BB38" s="77">
        <f>IF(F38="",0,+X38)</f>
        <v>0</v>
      </c>
      <c r="BC38" s="195">
        <f>IF(BE38=0,"",BH38)</f>
      </c>
      <c r="BD38" s="205">
        <f>IF(F38="","",VLOOKUP(#REF!,#REF!,3,0))</f>
      </c>
      <c r="BE38" s="205">
        <f>IF(W38="",0,IF(BA38="一月",BD38,IF(BA38="一回",BD38*W38)))</f>
        <v>0</v>
      </c>
      <c r="BF38" s="236">
        <f>IF(BI38=1,0,IF(BI38=0,BE38))</f>
        <v>0</v>
      </c>
      <c r="BG38" s="236">
        <f>IF(BI38=1,0,IF(BI38=0,AZ38))</f>
        <v>0</v>
      </c>
      <c r="BH38" s="195">
        <f>IF($J38="","",IF($J38=$BA$16,"",IF(AND(A39="",AX38=0,W38&lt;&gt;""),"",IF(OR(AND($T62="63",AX38&gt;=28),AND($T62="64",AX38=13)),$BE38,IF(OR(AND($T62="63",AX38&lt;28),AND($T62="64",AX38&lt;&gt;13)),"",IF($W38="",$BR38,IF(AX38&lt;&gt;0,BP38,$BO38)))))))</f>
      </c>
      <c r="BI38" s="178">
        <f>IF(F38=F40,1,0)</f>
        <v>1</v>
      </c>
      <c r="BJ38" s="196">
        <f>IF(X38="",0,X38)</f>
        <v>0</v>
      </c>
      <c r="BK38" s="232">
        <f>IF(BI38=1,0,IF(BI38=0,BJ38))</f>
        <v>0</v>
      </c>
      <c r="BL38" s="200">
        <f>IF(J38=$AM$60,6*W38,IF(OR(J38=$AM$61,J38=$AM$62,J38=$AM$63,J38=$AM$64),VLOOKUP(J38,$AM$61:$AN$64,2,0),""))</f>
      </c>
      <c r="BM38" s="201">
        <f>IF(F38="",X39,IF(AND(F38&lt;&gt;0,J38&lt;&gt;J36,J38&lt;&gt;J40),X39,0))</f>
        <v>0</v>
      </c>
      <c r="BN38" s="178">
        <f>IF(J38=$BL$55,BM38,0)</f>
        <v>0</v>
      </c>
      <c r="BO38" s="180" t="e">
        <f>ROUND(ROUND(BE38*Z62,0)*Z63,0)</f>
        <v>#REF!</v>
      </c>
      <c r="BP38" s="182" t="e">
        <f>ROUND(ROUND(BE38*Z62,0)*Z63,0)+BE38</f>
        <v>#REF!</v>
      </c>
      <c r="BQ38" s="144" t="e">
        <f>ROUND(ROUND(BF38*Z62,0)*Z63,0)</f>
        <v>#REF!</v>
      </c>
      <c r="BR38" s="143" t="e">
        <f>ROUND(ROUND(BF38*Z62,0)*Z63,0)+BG38</f>
        <v>#REF!</v>
      </c>
    </row>
    <row r="39" spans="1:70" ht="18" customHeight="1">
      <c r="A39" s="184"/>
      <c r="B39" s="185"/>
      <c r="C39" s="185"/>
      <c r="D39" s="185"/>
      <c r="E39" s="186"/>
      <c r="F39" s="224"/>
      <c r="G39" s="224"/>
      <c r="H39" s="224"/>
      <c r="I39" s="224"/>
      <c r="J39" s="137"/>
      <c r="K39" s="137"/>
      <c r="L39" s="137"/>
      <c r="M39" s="137"/>
      <c r="N39" s="137"/>
      <c r="O39" s="137"/>
      <c r="P39" s="230"/>
      <c r="Q39" s="230"/>
      <c r="R39" s="230"/>
      <c r="S39" s="231"/>
      <c r="T39" s="231"/>
      <c r="U39" s="224"/>
      <c r="V39" s="224"/>
      <c r="W39" s="224"/>
      <c r="X39" s="187"/>
      <c r="Y39" s="188"/>
      <c r="Z39" s="224"/>
      <c r="AA39" s="224"/>
      <c r="AB39" s="224"/>
      <c r="AC39" s="224"/>
      <c r="AD39" s="189"/>
      <c r="AE39" s="235"/>
      <c r="AF39" s="191"/>
      <c r="AG39" s="192"/>
      <c r="AH39" s="193"/>
      <c r="AI39" s="233"/>
      <c r="AJ39" s="234"/>
      <c r="AK39" s="187"/>
      <c r="AL39" s="194"/>
      <c r="AM39" s="188"/>
      <c r="AN39" s="219"/>
      <c r="AO39" s="220"/>
      <c r="AP39" s="221"/>
      <c r="AQ39" s="222"/>
      <c r="AR39" s="223"/>
      <c r="AS39" s="187"/>
      <c r="AT39" s="194"/>
      <c r="AU39" s="188"/>
      <c r="AV39" s="191"/>
      <c r="AW39" s="206"/>
      <c r="AX39" s="14"/>
      <c r="AY39" s="13"/>
      <c r="AZ39" s="1"/>
      <c r="BC39" s="204"/>
      <c r="BD39" s="204"/>
      <c r="BE39" s="204"/>
      <c r="BF39" s="236"/>
      <c r="BG39" s="237"/>
      <c r="BH39" s="195"/>
      <c r="BI39" s="179"/>
      <c r="BJ39" s="197"/>
      <c r="BK39" s="199"/>
      <c r="BL39" s="200"/>
      <c r="BM39" s="179"/>
      <c r="BN39" s="179"/>
      <c r="BO39" s="181"/>
      <c r="BP39" s="183"/>
      <c r="BQ39" s="144"/>
      <c r="BR39" s="144"/>
    </row>
    <row r="40" spans="1:70" ht="18" customHeight="1">
      <c r="A40" s="227"/>
      <c r="B40" s="228"/>
      <c r="C40" s="228"/>
      <c r="D40" s="228"/>
      <c r="E40" s="229"/>
      <c r="F40" s="224"/>
      <c r="G40" s="224"/>
      <c r="H40" s="224"/>
      <c r="I40" s="224"/>
      <c r="J40" s="137"/>
      <c r="K40" s="137"/>
      <c r="L40" s="137"/>
      <c r="M40" s="137"/>
      <c r="N40" s="137"/>
      <c r="O40" s="137"/>
      <c r="P40" s="230"/>
      <c r="Q40" s="230"/>
      <c r="R40" s="230"/>
      <c r="S40" s="231"/>
      <c r="T40" s="231"/>
      <c r="U40" s="224"/>
      <c r="V40" s="224"/>
      <c r="W40" s="224"/>
      <c r="X40" s="225"/>
      <c r="Y40" s="226"/>
      <c r="Z40" s="224"/>
      <c r="AA40" s="224"/>
      <c r="AB40" s="224"/>
      <c r="AC40" s="224"/>
      <c r="AD40" s="202"/>
      <c r="AE40" s="209"/>
      <c r="AF40" s="207"/>
      <c r="AG40" s="208"/>
      <c r="AH40" s="209"/>
      <c r="AI40" s="210"/>
      <c r="AJ40" s="211"/>
      <c r="AK40" s="214"/>
      <c r="AL40" s="215"/>
      <c r="AM40" s="216"/>
      <c r="AN40" s="217"/>
      <c r="AO40" s="218"/>
      <c r="AP40" s="214"/>
      <c r="AQ40" s="215"/>
      <c r="AR40" s="216"/>
      <c r="AS40" s="214"/>
      <c r="AT40" s="215"/>
      <c r="AU40" s="216"/>
      <c r="AV40" s="202"/>
      <c r="AW40" s="203"/>
      <c r="AX40" s="24">
        <f>IF(ISERROR(MATCH(J40,$AF$67:$AF$110,0)),0,MATCH(J40,$AF$67:$AF$110,0))</f>
        <v>0</v>
      </c>
      <c r="AY40" s="24">
        <f>IF(ISERROR(VLOOKUP(J40,$AF$67:$AG$110,2,FALSE)),0,VLOOKUP(J40,$AF$67:$AG$110,2,FALSE))</f>
        <v>0</v>
      </c>
      <c r="AZ40" s="1">
        <f>IF(ISERROR(AY40*W40),0,AY40*W40)</f>
        <v>0</v>
      </c>
      <c r="BA40" s="57">
        <f>IF(F40="",0,VLOOKUP(#REF!,#REF!,5,0))</f>
        <v>0</v>
      </c>
      <c r="BB40" s="77">
        <f>IF(F40="",0,+X40)</f>
        <v>0</v>
      </c>
      <c r="BC40" s="195">
        <f>IF(BE40=0,"",BH40)</f>
      </c>
      <c r="BD40" s="205">
        <f>IF(F40="","",VLOOKUP(#REF!,#REF!,3,0))</f>
      </c>
      <c r="BE40" s="205">
        <f>IF(W40="",0,IF(BA40="一月",BD40,IF(BA40="一回",BD40*W40)))</f>
        <v>0</v>
      </c>
      <c r="BF40" s="195">
        <f>IF(BI40=2,0,IF(BI40=0,BE40))</f>
        <v>0</v>
      </c>
      <c r="BG40" s="195">
        <f>IF(BI40=2,0,IF(BI40=0,AZ40))</f>
        <v>0</v>
      </c>
      <c r="BH40" s="195">
        <f>IF($J40="","",IF($J40=$BA$16,"",IF(AND(A41="",AX40=0,W40&lt;&gt;""),"",IF(OR(AND($T64="63",AX40&gt;=28),AND($T64="64",AX40=13)),$BE40,IF(OR(AND($T64="63",AX40&lt;28),AND($T64="64",AX40&lt;&gt;13)),"",IF($W40="",$BR40,IF(AX40&lt;&gt;0,BP40,$BO40)))))))</f>
      </c>
      <c r="BI40" s="178">
        <f>IF(J40="",0,IF(OR(F38=F40,F40=F42),2,0))</f>
        <v>0</v>
      </c>
      <c r="BJ40" s="196">
        <f>IF(X40="",0,X40)</f>
        <v>0</v>
      </c>
      <c r="BK40" s="232">
        <f>IF(BI40=2,0,IF(BI40=0,BJ40))</f>
        <v>0</v>
      </c>
      <c r="BL40" s="200">
        <f>IF(J40=$AM$60,6*W40,IF(OR(J40=$AM$61,J40=$AM$62,J40=$AM$63,J40=$AM$64),VLOOKUP(J40,$AM$61:$AN$64,2,0),""))</f>
      </c>
      <c r="BM40" s="201">
        <f>IF(F40="",X41,IF(AND(F40&lt;&gt;0,J40&lt;&gt;J38,J40&lt;&gt;J42),X41,0))</f>
        <v>0</v>
      </c>
      <c r="BN40" s="178">
        <f>IF(J40=$BL$55,BM40,0)</f>
        <v>0</v>
      </c>
      <c r="BO40" s="180" t="e">
        <f>ROUND(ROUND(BE40*Z64,0)*Z65,0)</f>
        <v>#REF!</v>
      </c>
      <c r="BP40" s="182" t="e">
        <f>ROUND(ROUND(BE40*Z64,0)*Z65,0)+BE40</f>
        <v>#REF!</v>
      </c>
      <c r="BQ40" s="144" t="e">
        <f>ROUND(ROUND(BF40*Z64,0)*Z65,0)</f>
        <v>#REF!</v>
      </c>
      <c r="BR40" s="143" t="e">
        <f>ROUND(ROUND(BF40*Z64,0)*Z65,0)+BG40</f>
        <v>#REF!</v>
      </c>
    </row>
    <row r="41" spans="1:70" s="80" customFormat="1" ht="18" customHeight="1">
      <c r="A41" s="184"/>
      <c r="B41" s="185"/>
      <c r="C41" s="185"/>
      <c r="D41" s="185"/>
      <c r="E41" s="186"/>
      <c r="F41" s="224"/>
      <c r="G41" s="224"/>
      <c r="H41" s="224"/>
      <c r="I41" s="224"/>
      <c r="J41" s="137"/>
      <c r="K41" s="137"/>
      <c r="L41" s="137"/>
      <c r="M41" s="137"/>
      <c r="N41" s="137"/>
      <c r="O41" s="137"/>
      <c r="P41" s="230"/>
      <c r="Q41" s="230"/>
      <c r="R41" s="230"/>
      <c r="S41" s="231"/>
      <c r="T41" s="231"/>
      <c r="U41" s="224"/>
      <c r="V41" s="224"/>
      <c r="W41" s="224"/>
      <c r="X41" s="187"/>
      <c r="Y41" s="188"/>
      <c r="Z41" s="224"/>
      <c r="AA41" s="224"/>
      <c r="AB41" s="224"/>
      <c r="AC41" s="224"/>
      <c r="AD41" s="189"/>
      <c r="AE41" s="190"/>
      <c r="AF41" s="191"/>
      <c r="AG41" s="192"/>
      <c r="AH41" s="193"/>
      <c r="AI41" s="233"/>
      <c r="AJ41" s="234"/>
      <c r="AK41" s="187"/>
      <c r="AL41" s="194"/>
      <c r="AM41" s="188"/>
      <c r="AN41" s="219"/>
      <c r="AO41" s="220"/>
      <c r="AP41" s="221"/>
      <c r="AQ41" s="222"/>
      <c r="AR41" s="223"/>
      <c r="AS41" s="187"/>
      <c r="AT41" s="194"/>
      <c r="AU41" s="188"/>
      <c r="AV41" s="191"/>
      <c r="AW41" s="206"/>
      <c r="AX41" s="14"/>
      <c r="AY41" s="24"/>
      <c r="AZ41" s="24"/>
      <c r="BA41" s="24"/>
      <c r="BB41" s="24"/>
      <c r="BC41" s="204"/>
      <c r="BD41" s="204"/>
      <c r="BE41" s="204"/>
      <c r="BF41" s="195"/>
      <c r="BG41" s="204"/>
      <c r="BH41" s="195"/>
      <c r="BI41" s="179"/>
      <c r="BJ41" s="197"/>
      <c r="BK41" s="199"/>
      <c r="BL41" s="200"/>
      <c r="BM41" s="179"/>
      <c r="BN41" s="179"/>
      <c r="BO41" s="181"/>
      <c r="BP41" s="183"/>
      <c r="BQ41" s="144"/>
      <c r="BR41" s="144"/>
    </row>
    <row r="42" spans="1:70" ht="18" customHeight="1">
      <c r="A42" s="227"/>
      <c r="B42" s="228"/>
      <c r="C42" s="228"/>
      <c r="D42" s="228"/>
      <c r="E42" s="229"/>
      <c r="F42" s="224"/>
      <c r="G42" s="224"/>
      <c r="H42" s="224"/>
      <c r="I42" s="224"/>
      <c r="J42" s="137"/>
      <c r="K42" s="137"/>
      <c r="L42" s="137"/>
      <c r="M42" s="137"/>
      <c r="N42" s="137"/>
      <c r="O42" s="137"/>
      <c r="P42" s="230"/>
      <c r="Q42" s="230"/>
      <c r="R42" s="230"/>
      <c r="S42" s="231"/>
      <c r="T42" s="231"/>
      <c r="U42" s="224"/>
      <c r="V42" s="224"/>
      <c r="W42" s="224"/>
      <c r="X42" s="225"/>
      <c r="Y42" s="226"/>
      <c r="Z42" s="224"/>
      <c r="AA42" s="224"/>
      <c r="AB42" s="224"/>
      <c r="AC42" s="224"/>
      <c r="AD42" s="202"/>
      <c r="AE42" s="209"/>
      <c r="AF42" s="207"/>
      <c r="AG42" s="208"/>
      <c r="AH42" s="209"/>
      <c r="AI42" s="210"/>
      <c r="AJ42" s="211"/>
      <c r="AK42" s="214"/>
      <c r="AL42" s="215"/>
      <c r="AM42" s="216"/>
      <c r="AN42" s="217"/>
      <c r="AO42" s="218"/>
      <c r="AP42" s="214"/>
      <c r="AQ42" s="215"/>
      <c r="AR42" s="216"/>
      <c r="AS42" s="214"/>
      <c r="AT42" s="215"/>
      <c r="AU42" s="216"/>
      <c r="AV42" s="202"/>
      <c r="AW42" s="203"/>
      <c r="AX42" s="24">
        <f>IF(ISERROR(MATCH(J42,$AF$67:$AF$110,0)),0,MATCH(J42,$AF$67:$AF$110,0))</f>
        <v>0</v>
      </c>
      <c r="AY42" s="24">
        <f>IF(ISERROR(VLOOKUP(J42,$AF$67:$AG$110,2,FALSE)),0,VLOOKUP(J42,$AF$67:$AG$110,2,FALSE))</f>
        <v>0</v>
      </c>
      <c r="AZ42" s="1">
        <f>IF(ISERROR(AY42*W42),0,AY42*W42)</f>
        <v>0</v>
      </c>
      <c r="BA42" s="57">
        <f>IF(F42="",0,VLOOKUP(#REF!,#REF!,5,0))</f>
        <v>0</v>
      </c>
      <c r="BB42" s="77">
        <f>IF(F42="",0,+X42)</f>
        <v>0</v>
      </c>
      <c r="BC42" s="195">
        <f>IF(BE42=0,"",BH42)</f>
      </c>
      <c r="BD42" s="205">
        <f>IF(F42="","",VLOOKUP(#REF!,#REF!,3,0))</f>
      </c>
      <c r="BE42" s="205">
        <f>IF(W42="",0,IF(BA42="一月",BD42,IF(BA42="一回",BD42*W42)))</f>
        <v>0</v>
      </c>
      <c r="BF42" s="195">
        <f>IF(AND(BI38=1,BI40=2,BI42=100),SUM(BE38:BE40),IF(BI42=3,0,IF(BI42=0,BE42)))</f>
        <v>0</v>
      </c>
      <c r="BG42" s="195">
        <f>IF(AND(BI38=1,BI40=2,BI42=100),SUM(AZ38:AZ40),IF(BI42=3,0,IF(BI42=0,AZ42)))</f>
        <v>0</v>
      </c>
      <c r="BH42" s="195">
        <f>IF($J42="","",IF($J42=$BA$16,"",IF(AND(A43="",AX42=0,W42&lt;&gt;""),"",IF(OR(AND($T66="63",AX42&gt;=28),AND($T66="64",AX42=13)),$BE42,IF(OR(AND($T66="63",AX42&lt;28),AND($T66="64",AX42&lt;&gt;13)),"",IF($W42="",$BR42,IF(AX42&lt;&gt;0,BP42,$BO42)))))))</f>
      </c>
      <c r="BI42" s="178">
        <f>IF(J42="",0,IF(AND(F40=F38,F42=""),100,IF(OR(F40=F42,F42=F44),3,0)))</f>
        <v>0</v>
      </c>
      <c r="BJ42" s="196">
        <f>IF(X42="",0,X42)</f>
        <v>0</v>
      </c>
      <c r="BK42" s="232">
        <f>IF(AND(BI38=1,BI40=2,BI42=100),SUM(BJ38:BJ40),IF(BI42=3,0,IF(BI42=0,BJ42)))</f>
        <v>0</v>
      </c>
      <c r="BL42" s="200">
        <f>IF(J42=$AM$60,6*W42,IF(OR(J42=$AM$61,J42=$AM$62,J42=$AM$63,J42=$AM$64),VLOOKUP(J42,$AM$61:$AN$64,2,0),""))</f>
      </c>
      <c r="BM42" s="201">
        <f>IF(F42="",X43,IF(AND(F42&lt;&gt;0,J42&lt;&gt;J40,J42&lt;&gt;J44),X43,0))</f>
        <v>0</v>
      </c>
      <c r="BN42" s="178">
        <f>IF(J42=$BL$55,BM42,0)</f>
        <v>0</v>
      </c>
      <c r="BO42" s="180" t="e">
        <f>ROUND(ROUND(BE42*Z66,0)*Z67,0)</f>
        <v>#REF!</v>
      </c>
      <c r="BP42" s="182" t="e">
        <f>ROUND(ROUND(BE42*Z66,0)*Z67,0)+BE42</f>
        <v>#REF!</v>
      </c>
      <c r="BQ42" s="144" t="e">
        <f>ROUND(ROUND(BF42*Z66,0)*Z67,0)</f>
        <v>#REF!</v>
      </c>
      <c r="BR42" s="143" t="e">
        <f>ROUND(ROUND(BF42*Z66,0)*Z67,0)+BG42</f>
        <v>#REF!</v>
      </c>
    </row>
    <row r="43" spans="1:70" ht="18" customHeight="1">
      <c r="A43" s="184"/>
      <c r="B43" s="185"/>
      <c r="C43" s="185"/>
      <c r="D43" s="185"/>
      <c r="E43" s="186"/>
      <c r="F43" s="224"/>
      <c r="G43" s="224"/>
      <c r="H43" s="224"/>
      <c r="I43" s="224"/>
      <c r="J43" s="137"/>
      <c r="K43" s="137"/>
      <c r="L43" s="137"/>
      <c r="M43" s="137"/>
      <c r="N43" s="137"/>
      <c r="O43" s="137"/>
      <c r="P43" s="230"/>
      <c r="Q43" s="230"/>
      <c r="R43" s="230"/>
      <c r="S43" s="231"/>
      <c r="T43" s="231"/>
      <c r="U43" s="224"/>
      <c r="V43" s="224"/>
      <c r="W43" s="224"/>
      <c r="X43" s="187"/>
      <c r="Y43" s="188"/>
      <c r="Z43" s="224"/>
      <c r="AA43" s="224"/>
      <c r="AB43" s="224"/>
      <c r="AC43" s="224"/>
      <c r="AD43" s="189"/>
      <c r="AE43" s="190"/>
      <c r="AF43" s="191"/>
      <c r="AG43" s="192"/>
      <c r="AH43" s="193"/>
      <c r="AI43" s="233"/>
      <c r="AJ43" s="234"/>
      <c r="AK43" s="187"/>
      <c r="AL43" s="194"/>
      <c r="AM43" s="188"/>
      <c r="AN43" s="219"/>
      <c r="AO43" s="220"/>
      <c r="AP43" s="221"/>
      <c r="AQ43" s="222"/>
      <c r="AR43" s="223"/>
      <c r="AS43" s="187"/>
      <c r="AT43" s="194"/>
      <c r="AU43" s="188"/>
      <c r="AV43" s="191"/>
      <c r="AW43" s="206"/>
      <c r="AX43" s="14"/>
      <c r="BC43" s="204"/>
      <c r="BD43" s="204"/>
      <c r="BE43" s="204"/>
      <c r="BF43" s="204"/>
      <c r="BG43" s="204"/>
      <c r="BH43" s="195"/>
      <c r="BI43" s="179"/>
      <c r="BJ43" s="197"/>
      <c r="BK43" s="199"/>
      <c r="BL43" s="200"/>
      <c r="BM43" s="179"/>
      <c r="BN43" s="179"/>
      <c r="BO43" s="181"/>
      <c r="BP43" s="183"/>
      <c r="BQ43" s="144"/>
      <c r="BR43" s="144"/>
    </row>
    <row r="44" spans="1:70" ht="18" customHeight="1">
      <c r="A44" s="227"/>
      <c r="B44" s="228"/>
      <c r="C44" s="228"/>
      <c r="D44" s="228"/>
      <c r="E44" s="229"/>
      <c r="F44" s="224"/>
      <c r="G44" s="224"/>
      <c r="H44" s="224"/>
      <c r="I44" s="224"/>
      <c r="J44" s="137"/>
      <c r="K44" s="137"/>
      <c r="L44" s="137"/>
      <c r="M44" s="137"/>
      <c r="N44" s="137"/>
      <c r="O44" s="137"/>
      <c r="P44" s="230"/>
      <c r="Q44" s="230"/>
      <c r="R44" s="230"/>
      <c r="S44" s="231"/>
      <c r="T44" s="231"/>
      <c r="U44" s="224"/>
      <c r="V44" s="224"/>
      <c r="W44" s="224"/>
      <c r="X44" s="225"/>
      <c r="Y44" s="226"/>
      <c r="Z44" s="224"/>
      <c r="AA44" s="224"/>
      <c r="AB44" s="224"/>
      <c r="AC44" s="224"/>
      <c r="AD44" s="202"/>
      <c r="AE44" s="209"/>
      <c r="AF44" s="207"/>
      <c r="AG44" s="208"/>
      <c r="AH44" s="209"/>
      <c r="AI44" s="210"/>
      <c r="AJ44" s="211"/>
      <c r="AK44" s="214"/>
      <c r="AL44" s="215"/>
      <c r="AM44" s="216"/>
      <c r="AN44" s="217"/>
      <c r="AO44" s="218"/>
      <c r="AP44" s="214"/>
      <c r="AQ44" s="215"/>
      <c r="AR44" s="216"/>
      <c r="AS44" s="214"/>
      <c r="AT44" s="215"/>
      <c r="AU44" s="216"/>
      <c r="AV44" s="202"/>
      <c r="AW44" s="203"/>
      <c r="AX44" s="24">
        <f>IF(ISERROR(MATCH(J44,$AF$67:$AF$110,0)),0,MATCH(J44,$AF$67:$AF$110,0))</f>
        <v>0</v>
      </c>
      <c r="AY44" s="24">
        <f>IF(ISERROR(VLOOKUP(J44,$AF$67:$AG$110,2,FALSE)),0,VLOOKUP(J44,$AF$67:$AG$110,2,FALSE))</f>
        <v>0</v>
      </c>
      <c r="AZ44" s="1">
        <f>IF(ISERROR(AY44*W44),0,AY44*W44)</f>
        <v>0</v>
      </c>
      <c r="BA44" s="57">
        <f>IF(F44="",0,VLOOKUP(#REF!,#REF!,5,0))</f>
        <v>0</v>
      </c>
      <c r="BB44" s="77">
        <f>IF(F44="",0,+X44)</f>
        <v>0</v>
      </c>
      <c r="BC44" s="195">
        <f>IF(BE44=0,"",BH44)</f>
      </c>
      <c r="BD44" s="205">
        <f>IF(F44="","",VLOOKUP(#REF!,#REF!,3,0))</f>
      </c>
      <c r="BE44" s="205">
        <f>IF(W44="",0,IF(BA44="一月",BD44,IF(BA44="一回",BD44*W44)))</f>
        <v>0</v>
      </c>
      <c r="BF44" s="195">
        <f>IF(AND(BI38=1,BI40=2,BI42=3,BI44=100),SUM(BE38:BE42),IF(AND(BI40=2,BI42=3,BI44=100),SUM(BE40:BE42),IF(BI44=4,0,IF(BI44=0,BE44))))</f>
        <v>0</v>
      </c>
      <c r="BG44" s="195">
        <f>IF(AND(BI38=1,BI40=2,BI42=3,BI44=100),SUM(AZ38:AZ42),IF(AND(BI40=2,BI42=3,BI44=100),SUM(AZ40:AZ42),IF(BI44=4,0,IF(BI44=0,AZ44))))</f>
        <v>0</v>
      </c>
      <c r="BH44" s="195">
        <f>IF($J44="","",IF($J44=$BA$16,"",IF(AND(A45="",AX44=0,W44&lt;&gt;""),"",IF(OR(AND($T68="63",AX44&gt;=28),AND($T68="64",AX44=13)),$BE44,IF(OR(AND($T68="63",AX44&lt;28),AND($T68="64",AX44&lt;&gt;13)),"",IF($W44="",$BR44,IF(AX44&lt;&gt;0,BP44,$BO44)))))))</f>
      </c>
      <c r="BI44" s="178">
        <f>IF(J44="",0,IF(AND(F42=F40,F44=""),100,IF(OR(F42=F44,F44=F46),4,0)))</f>
        <v>0</v>
      </c>
      <c r="BJ44" s="196">
        <f>IF(X44="",0,X44)</f>
        <v>0</v>
      </c>
      <c r="BK44" s="232">
        <f>IF(AND(BI38=1,BI40=2,BI42=3,BI44=100),SUM(BJ38:BJ42),IF(AND(BI40=2,BI42=3,BI44=100),SUM(BJ40:BJ42),IF(BI44=4,0,IF(BI44=0,BJ44))))</f>
        <v>0</v>
      </c>
      <c r="BL44" s="200">
        <f>IF(J44=$AM$60,6*W44,IF(OR(J44=$AM$61,J44=$AM$62,J44=$AM$63,J44=$AM$64),VLOOKUP(J44,$AM$61:$AN$64,2,0),""))</f>
      </c>
      <c r="BM44" s="201">
        <f>IF(F44="",X45,IF(AND(F44&lt;&gt;0,J44&lt;&gt;J42,J44&lt;&gt;J46),X45,0))</f>
        <v>0</v>
      </c>
      <c r="BN44" s="178">
        <f>IF(J44=$BL$55,BM44,0)</f>
        <v>0</v>
      </c>
      <c r="BO44" s="180" t="e">
        <f>ROUND(ROUND(BE44*Z68,0)*Z69,0)</f>
        <v>#REF!</v>
      </c>
      <c r="BP44" s="182" t="e">
        <f>ROUND(ROUND(BE44*Z68,0)*Z69,0)+BE44</f>
        <v>#REF!</v>
      </c>
      <c r="BQ44" s="144" t="e">
        <f>ROUND(ROUND(BF44*Z68,0)*Z69,0)</f>
        <v>#REF!</v>
      </c>
      <c r="BR44" s="143" t="e">
        <f>ROUND(ROUND(BF44*Z68,0)*Z69,0)+BG44</f>
        <v>#REF!</v>
      </c>
    </row>
    <row r="45" spans="1:70" ht="18" customHeight="1">
      <c r="A45" s="184"/>
      <c r="B45" s="185"/>
      <c r="C45" s="185"/>
      <c r="D45" s="185"/>
      <c r="E45" s="186"/>
      <c r="F45" s="224"/>
      <c r="G45" s="224"/>
      <c r="H45" s="224"/>
      <c r="I45" s="224"/>
      <c r="J45" s="137"/>
      <c r="K45" s="137"/>
      <c r="L45" s="137"/>
      <c r="M45" s="137"/>
      <c r="N45" s="137"/>
      <c r="O45" s="137"/>
      <c r="P45" s="230"/>
      <c r="Q45" s="230"/>
      <c r="R45" s="230"/>
      <c r="S45" s="231"/>
      <c r="T45" s="231"/>
      <c r="U45" s="224"/>
      <c r="V45" s="224"/>
      <c r="W45" s="224"/>
      <c r="X45" s="187"/>
      <c r="Y45" s="188"/>
      <c r="Z45" s="224"/>
      <c r="AA45" s="224"/>
      <c r="AB45" s="224"/>
      <c r="AC45" s="224"/>
      <c r="AD45" s="189"/>
      <c r="AE45" s="190"/>
      <c r="AF45" s="191"/>
      <c r="AG45" s="192"/>
      <c r="AH45" s="193"/>
      <c r="AI45" s="233"/>
      <c r="AJ45" s="234"/>
      <c r="AK45" s="187"/>
      <c r="AL45" s="194"/>
      <c r="AM45" s="188"/>
      <c r="AN45" s="219"/>
      <c r="AO45" s="220"/>
      <c r="AP45" s="221"/>
      <c r="AQ45" s="222"/>
      <c r="AR45" s="223"/>
      <c r="AS45" s="187"/>
      <c r="AT45" s="194"/>
      <c r="AU45" s="188"/>
      <c r="AV45" s="191"/>
      <c r="AW45" s="206"/>
      <c r="AX45" s="14"/>
      <c r="BC45" s="204"/>
      <c r="BD45" s="204"/>
      <c r="BE45" s="204"/>
      <c r="BF45" s="195"/>
      <c r="BG45" s="204"/>
      <c r="BH45" s="195"/>
      <c r="BI45" s="179"/>
      <c r="BJ45" s="197"/>
      <c r="BK45" s="199"/>
      <c r="BL45" s="200"/>
      <c r="BM45" s="179"/>
      <c r="BN45" s="179"/>
      <c r="BO45" s="181"/>
      <c r="BP45" s="183"/>
      <c r="BQ45" s="144"/>
      <c r="BR45" s="144"/>
    </row>
    <row r="46" spans="1:70" ht="18" customHeight="1">
      <c r="A46" s="227"/>
      <c r="B46" s="228"/>
      <c r="C46" s="228"/>
      <c r="D46" s="228"/>
      <c r="E46" s="229"/>
      <c r="F46" s="224"/>
      <c r="G46" s="224"/>
      <c r="H46" s="224"/>
      <c r="I46" s="224"/>
      <c r="J46" s="137"/>
      <c r="K46" s="137"/>
      <c r="L46" s="137"/>
      <c r="M46" s="137"/>
      <c r="N46" s="137"/>
      <c r="O46" s="137"/>
      <c r="P46" s="230"/>
      <c r="Q46" s="230"/>
      <c r="R46" s="230"/>
      <c r="S46" s="231"/>
      <c r="T46" s="231"/>
      <c r="U46" s="224"/>
      <c r="V46" s="224"/>
      <c r="W46" s="224"/>
      <c r="X46" s="225"/>
      <c r="Y46" s="226"/>
      <c r="Z46" s="224"/>
      <c r="AA46" s="224"/>
      <c r="AB46" s="224"/>
      <c r="AC46" s="224"/>
      <c r="AD46" s="202"/>
      <c r="AE46" s="209"/>
      <c r="AF46" s="207"/>
      <c r="AG46" s="208"/>
      <c r="AH46" s="209"/>
      <c r="AI46" s="210"/>
      <c r="AJ46" s="211"/>
      <c r="AK46" s="214"/>
      <c r="AL46" s="215"/>
      <c r="AM46" s="216"/>
      <c r="AN46" s="217"/>
      <c r="AO46" s="218"/>
      <c r="AP46" s="214"/>
      <c r="AQ46" s="215"/>
      <c r="AR46" s="216"/>
      <c r="AS46" s="214"/>
      <c r="AT46" s="215"/>
      <c r="AU46" s="216"/>
      <c r="AV46" s="202"/>
      <c r="AW46" s="203"/>
      <c r="AX46" s="24">
        <f>IF(ISERROR(MATCH(J46,$AF$67:$AF$110,0)),0,MATCH(J46,$AF$67:$AF$110,0))</f>
        <v>0</v>
      </c>
      <c r="AY46" s="24">
        <f>IF(ISERROR(VLOOKUP(J46,$AF$67:$AG$110,2,FALSE)),0,VLOOKUP(J46,$AF$67:$AG$110,2,FALSE))</f>
        <v>0</v>
      </c>
      <c r="AZ46" s="1">
        <f>IF(ISERROR(AY46*W46),0,AY46*W46)</f>
        <v>0</v>
      </c>
      <c r="BA46" s="57">
        <f>IF(F46="",0,VLOOKUP(#REF!,#REF!,5,0))</f>
        <v>0</v>
      </c>
      <c r="BB46" s="77">
        <f>IF(F46="",0,+X46)</f>
        <v>0</v>
      </c>
      <c r="BC46" s="195">
        <f>IF(BE46=0,"",BH46)</f>
      </c>
      <c r="BD46" s="205">
        <f>IF(F46="","",VLOOKUP(#REF!,#REF!,3,0))</f>
      </c>
      <c r="BE46" s="205">
        <f>IF(W46="",0,IF(BA46="一月",BD46,IF(BA46="一回",BD46*W46)))</f>
        <v>0</v>
      </c>
      <c r="BF46" s="195">
        <f>IF(AND(BI38=1,BI40=2,BI42=3,BI44=4,BI46=100),SUM(BE38:BE44),IF(AND(BI40=2,BI42=3,BI44=4,BI46=100),SUM(BE40:BE44),IF(AND(BI42=3,BI44=4,BI46=100),SUM(BE42:BE44),IF(BI46=5,0,IF(BI46=0,BE46)))))</f>
        <v>0</v>
      </c>
      <c r="BG46" s="195">
        <f>IF(AND(BI38=1,BI40=2,BI42=3,BI44=4,BI46=100),SUM(AZ38:AZ44),IF(AND(BI40=2,BI42=3,BI44=4,BI46=100),SUM(AZ40:AZ44),IF(AND(BI42=3,BI44=4,BI46=100),SUM(AZ42:AZ44),IF(BI46=5,0,IF(BI46=0,AZ46)))))</f>
        <v>0</v>
      </c>
      <c r="BH46" s="195">
        <f>IF($J46="","",IF($J46=$BA$16,"",IF(AND(A47="",AX46=0,W46&lt;&gt;""),"",IF(OR(AND($T70="63",AX46&gt;=28),AND($T70="64",AX46=13)),$BE46,IF(OR(AND($T70="63",AX46&lt;28),AND($T70="64",AX46&lt;&gt;13)),"",IF($W46="",$BR46,IF(AX46&lt;&gt;0,BP46,$BO46)))))))</f>
      </c>
      <c r="BI46" s="178">
        <f>IF(J46="",0,IF(AND(F44=F42,F46=""),100,IF(OR(F44=F46,F46=F48),5,0)))</f>
        <v>0</v>
      </c>
      <c r="BJ46" s="196">
        <f>IF(X46="",0,X46)</f>
        <v>0</v>
      </c>
      <c r="BK46" s="232">
        <f>IF(AND(BI38=1,BI40=2,BI42=3,BI44=4,BI46=100),SUM(BJ38:BJ44),IF(AND(BI40=2,BI42=3,BI44=4,BI46=100),SUM(BJ40:BJ44),IF(AND(BI42=3,BI44=4,BI46=100),SUM(BJ42:BJ44),IF(BI46=5,0,IF(BI46=0,BJ46)))))</f>
        <v>0</v>
      </c>
      <c r="BL46" s="200">
        <f>IF(J46=$AM$60,6*W46,IF(OR(J46=$AM$61,J46=$AM$62,J46=$AM$63,J46=$AM$64),VLOOKUP(J46,$AM$61:$AN$64,2,0),""))</f>
      </c>
      <c r="BM46" s="201">
        <f>IF(F46="",X47,IF(AND(F46&lt;&gt;0,J46&lt;&gt;J44,J46&lt;&gt;J48),X47,0))</f>
        <v>0</v>
      </c>
      <c r="BN46" s="178">
        <f>IF(J46=$BL$55,BM46,0)</f>
        <v>0</v>
      </c>
      <c r="BO46" s="180" t="e">
        <f>ROUND(ROUND(BE46*Z70,0)*Z71,0)</f>
        <v>#REF!</v>
      </c>
      <c r="BP46" s="182" t="e">
        <f>ROUND(ROUND(BE46*Z70,0)*Z71,0)+BE46</f>
        <v>#REF!</v>
      </c>
      <c r="BQ46" s="144" t="e">
        <f>ROUND(ROUND(BF46*Z70,0)*Z71,0)</f>
        <v>#REF!</v>
      </c>
      <c r="BR46" s="143" t="e">
        <f>ROUND(ROUND(BF46*Z70,0)*Z71,0)+BG46</f>
        <v>#REF!</v>
      </c>
    </row>
    <row r="47" spans="1:70" ht="18" customHeight="1">
      <c r="A47" s="184"/>
      <c r="B47" s="185"/>
      <c r="C47" s="185"/>
      <c r="D47" s="185"/>
      <c r="E47" s="186"/>
      <c r="F47" s="224"/>
      <c r="G47" s="224"/>
      <c r="H47" s="224"/>
      <c r="I47" s="224"/>
      <c r="J47" s="137"/>
      <c r="K47" s="137"/>
      <c r="L47" s="137"/>
      <c r="M47" s="137"/>
      <c r="N47" s="137"/>
      <c r="O47" s="137"/>
      <c r="P47" s="230"/>
      <c r="Q47" s="230"/>
      <c r="R47" s="230"/>
      <c r="S47" s="231"/>
      <c r="T47" s="231"/>
      <c r="U47" s="224"/>
      <c r="V47" s="224"/>
      <c r="W47" s="224"/>
      <c r="X47" s="187"/>
      <c r="Y47" s="188"/>
      <c r="Z47" s="224"/>
      <c r="AA47" s="224"/>
      <c r="AB47" s="224"/>
      <c r="AC47" s="224"/>
      <c r="AD47" s="189"/>
      <c r="AE47" s="190"/>
      <c r="AF47" s="191"/>
      <c r="AG47" s="192"/>
      <c r="AH47" s="193"/>
      <c r="AI47" s="233"/>
      <c r="AJ47" s="234"/>
      <c r="AK47" s="187"/>
      <c r="AL47" s="194"/>
      <c r="AM47" s="188"/>
      <c r="AN47" s="219"/>
      <c r="AO47" s="220"/>
      <c r="AP47" s="221"/>
      <c r="AQ47" s="222"/>
      <c r="AR47" s="223"/>
      <c r="AS47" s="187"/>
      <c r="AT47" s="194"/>
      <c r="AU47" s="188"/>
      <c r="AV47" s="191"/>
      <c r="AW47" s="206"/>
      <c r="AX47" s="14"/>
      <c r="BC47" s="204"/>
      <c r="BD47" s="204"/>
      <c r="BE47" s="204"/>
      <c r="BF47" s="204"/>
      <c r="BG47" s="204"/>
      <c r="BH47" s="195"/>
      <c r="BI47" s="179"/>
      <c r="BJ47" s="197"/>
      <c r="BK47" s="199"/>
      <c r="BL47" s="200"/>
      <c r="BM47" s="179"/>
      <c r="BN47" s="179"/>
      <c r="BO47" s="181"/>
      <c r="BP47" s="183"/>
      <c r="BQ47" s="144"/>
      <c r="BR47" s="144"/>
    </row>
    <row r="48" spans="1:70" ht="18" customHeight="1">
      <c r="A48" s="227"/>
      <c r="B48" s="228"/>
      <c r="C48" s="228"/>
      <c r="D48" s="228"/>
      <c r="E48" s="229"/>
      <c r="F48" s="224"/>
      <c r="G48" s="224"/>
      <c r="H48" s="224"/>
      <c r="I48" s="224"/>
      <c r="J48" s="137"/>
      <c r="K48" s="137"/>
      <c r="L48" s="137"/>
      <c r="M48" s="137"/>
      <c r="N48" s="137"/>
      <c r="O48" s="137"/>
      <c r="P48" s="230"/>
      <c r="Q48" s="230"/>
      <c r="R48" s="230"/>
      <c r="S48" s="231"/>
      <c r="T48" s="231"/>
      <c r="U48" s="224"/>
      <c r="V48" s="224"/>
      <c r="W48" s="224"/>
      <c r="X48" s="225"/>
      <c r="Y48" s="226"/>
      <c r="Z48" s="224"/>
      <c r="AA48" s="224"/>
      <c r="AB48" s="224"/>
      <c r="AC48" s="224"/>
      <c r="AD48" s="202"/>
      <c r="AE48" s="209"/>
      <c r="AF48" s="207"/>
      <c r="AG48" s="208"/>
      <c r="AH48" s="209"/>
      <c r="AI48" s="210"/>
      <c r="AJ48" s="211"/>
      <c r="AK48" s="214"/>
      <c r="AL48" s="215"/>
      <c r="AM48" s="216"/>
      <c r="AN48" s="217"/>
      <c r="AO48" s="218"/>
      <c r="AP48" s="214"/>
      <c r="AQ48" s="215"/>
      <c r="AR48" s="216"/>
      <c r="AS48" s="214"/>
      <c r="AT48" s="215"/>
      <c r="AU48" s="216"/>
      <c r="AV48" s="202"/>
      <c r="AW48" s="203"/>
      <c r="AX48" s="24">
        <f>IF(ISERROR(MATCH(J48,$AF$67:$AF$110,0)),0,MATCH(J48,$AF$67:$AF$110,0))</f>
        <v>0</v>
      </c>
      <c r="AY48" s="24">
        <f>IF(ISERROR(VLOOKUP(J48,$AF$67:$AG$110,2,FALSE)),0,VLOOKUP(J48,$AF$67:$AG$110,2,FALSE))</f>
        <v>0</v>
      </c>
      <c r="AZ48" s="1">
        <f>IF(ISERROR(AY48*W48),0,AY48*W48)</f>
        <v>0</v>
      </c>
      <c r="BA48" s="57">
        <f>IF(F48="",0,VLOOKUP(#REF!,#REF!,5,0))</f>
        <v>0</v>
      </c>
      <c r="BB48" s="77">
        <f>IF(F48="",0,+X48)</f>
        <v>0</v>
      </c>
      <c r="BC48" s="195">
        <f>IF(BE48=0,"",BH48)</f>
      </c>
      <c r="BD48" s="205">
        <f>IF(F48="","",VLOOKUP(#REF!,#REF!,3,0))</f>
      </c>
      <c r="BE48" s="205">
        <f>IF(W48="",0,IF(BA48="一月",BD48,IF(BA48="一回",BD48*W48)))</f>
        <v>0</v>
      </c>
      <c r="BF48" s="195">
        <f>IF(AND(BI38=1,BI40=2,BI42=3,BI44=4,BI46=5,BI48=100),SUM(BE38:BE46),IF(AND(BI40=2,BI42=3,BI44=4,BI46=5,BI48=100),SUM(BE40:BE46),IF(AND(BI42=3,BI44=4,BI46=5,BI48=100),SUM(BE42:BE46),IF(AND(BI44=4,BI46=5,BI48=100),SUM(BE44:BE46),IF(BI48=6,0,IF(BI48=0,BE48))))))</f>
        <v>0</v>
      </c>
      <c r="BG48" s="195">
        <f>IF(AND(BI38=1,BI40=2,BI42=3,BI44=4,BI46=5,BI48=100),SUM(AZ38:AZ46),IF(AND(BI40=2,BI42=3,BI44=4,BI46=5,BI48=100),SUM(AZ40:AZ46),IF(AND(BI42=3,BI44=4,BI46=5,BI48=100),SUM(AZ42:AZ46),IF(AND(BI44=4,BI46=5,BI48=100),SUM(AZ44:AZ46),IF(BI48=6,0,IF(BI48=0,AZ48))))))</f>
        <v>0</v>
      </c>
      <c r="BH48" s="195">
        <f>IF($J48="","",IF($J48=$BA$16,"",IF(AND(A49="",AX48=0,W48&lt;&gt;""),"",IF(OR(AND($T72="63",AX48&gt;=28),AND($T72="64",AX48=13)),$BE48,IF(OR(AND($T72="63",AX48&lt;28),AND($T72="64",AX48&lt;&gt;13)),"",IF($W48="",$BR48,IF(AX48&lt;&gt;0,BP48,$BO48)))))))</f>
      </c>
      <c r="BI48" s="178">
        <f>IF(J48="",0,IF(AND(F46=F44,F48=""),100,IF(OR(F46=F48,F48=F50),6,0)))</f>
        <v>0</v>
      </c>
      <c r="BJ48" s="196">
        <f>IF(X48="",0,X48)</f>
        <v>0</v>
      </c>
      <c r="BK48" s="232">
        <f>IF(AND(BI38=1,BI40=2,BI42=3,BI44=4,BI46=5,BI48=100),SUM(BJ38:BJ46),IF(AND(BI40=2,BI42=3,BI44=4,BI46=5,BI48=100),SUM(BJ40:BJ46),IF(AND(BI42=3,BI44=4,BI46=5,BI48=100),SUM(BJ42:BJ46),IF(AND(BI44=4,BI46=5,BI48=100),SUM(BJ44:BJ46),IF(BI48=6,0,IF(BI48=0,BJ48))))))</f>
        <v>0</v>
      </c>
      <c r="BL48" s="200">
        <f>IF(J48=$AM$60,6*W48,IF(OR(J48=$AM$61,J48=$AM$62,J48=$AM$63,J48=$AM$64),VLOOKUP(J48,$AM$61:$AN$64,2,0),""))</f>
      </c>
      <c r="BM48" s="201">
        <f>IF(F48="",X49,IF(AND(F48&lt;&gt;0,J48&lt;&gt;J46,J48&lt;&gt;J50),X49,0))</f>
        <v>0</v>
      </c>
      <c r="BN48" s="178">
        <f>IF(J48=$BL$55,BM48,0)</f>
        <v>0</v>
      </c>
      <c r="BO48" s="180" t="e">
        <f>ROUND(ROUND(BE48*Z72,0)*Z73,0)</f>
        <v>#REF!</v>
      </c>
      <c r="BP48" s="182" t="e">
        <f>ROUND(ROUND(BE48*Z72,0)*Z73,0)+BE48</f>
        <v>#REF!</v>
      </c>
      <c r="BQ48" s="144" t="e">
        <f>ROUND(ROUND(BF48*Z72,0)*Z73,0)</f>
        <v>#REF!</v>
      </c>
      <c r="BR48" s="143" t="e">
        <f>ROUND(ROUND(BF48*Z72,0)*Z73,0)+BG48</f>
        <v>#REF!</v>
      </c>
    </row>
    <row r="49" spans="1:70" ht="18" customHeight="1">
      <c r="A49" s="184"/>
      <c r="B49" s="185"/>
      <c r="C49" s="185"/>
      <c r="D49" s="185"/>
      <c r="E49" s="186"/>
      <c r="F49" s="224"/>
      <c r="G49" s="224"/>
      <c r="H49" s="224"/>
      <c r="I49" s="224"/>
      <c r="J49" s="137"/>
      <c r="K49" s="137"/>
      <c r="L49" s="137"/>
      <c r="M49" s="137"/>
      <c r="N49" s="137"/>
      <c r="O49" s="137"/>
      <c r="P49" s="230"/>
      <c r="Q49" s="230"/>
      <c r="R49" s="230"/>
      <c r="S49" s="231"/>
      <c r="T49" s="231"/>
      <c r="U49" s="224"/>
      <c r="V49" s="224"/>
      <c r="W49" s="224"/>
      <c r="X49" s="187"/>
      <c r="Y49" s="188"/>
      <c r="Z49" s="224"/>
      <c r="AA49" s="224"/>
      <c r="AB49" s="224"/>
      <c r="AC49" s="224"/>
      <c r="AD49" s="189"/>
      <c r="AE49" s="190"/>
      <c r="AF49" s="191"/>
      <c r="AG49" s="192"/>
      <c r="AH49" s="193"/>
      <c r="AI49" s="233"/>
      <c r="AJ49" s="234"/>
      <c r="AK49" s="187"/>
      <c r="AL49" s="194"/>
      <c r="AM49" s="188"/>
      <c r="AN49" s="219"/>
      <c r="AO49" s="220"/>
      <c r="AP49" s="221"/>
      <c r="AQ49" s="222"/>
      <c r="AR49" s="223"/>
      <c r="AS49" s="187"/>
      <c r="AT49" s="194"/>
      <c r="AU49" s="188"/>
      <c r="AV49" s="191"/>
      <c r="AW49" s="206"/>
      <c r="AX49" s="14"/>
      <c r="AY49" s="81"/>
      <c r="BC49" s="204"/>
      <c r="BD49" s="204"/>
      <c r="BE49" s="204"/>
      <c r="BF49" s="204"/>
      <c r="BG49" s="204"/>
      <c r="BH49" s="195"/>
      <c r="BI49" s="179"/>
      <c r="BJ49" s="197"/>
      <c r="BK49" s="199"/>
      <c r="BL49" s="200"/>
      <c r="BM49" s="179"/>
      <c r="BN49" s="179"/>
      <c r="BO49" s="181"/>
      <c r="BP49" s="183"/>
      <c r="BQ49" s="144"/>
      <c r="BR49" s="144"/>
    </row>
    <row r="50" spans="1:70" ht="18" customHeight="1">
      <c r="A50" s="227"/>
      <c r="B50" s="228"/>
      <c r="C50" s="228"/>
      <c r="D50" s="228"/>
      <c r="E50" s="229"/>
      <c r="F50" s="224"/>
      <c r="G50" s="224"/>
      <c r="H50" s="224"/>
      <c r="I50" s="224"/>
      <c r="J50" s="137"/>
      <c r="K50" s="137"/>
      <c r="L50" s="137"/>
      <c r="M50" s="137"/>
      <c r="N50" s="137"/>
      <c r="O50" s="137"/>
      <c r="P50" s="230"/>
      <c r="Q50" s="230"/>
      <c r="R50" s="230"/>
      <c r="S50" s="231"/>
      <c r="T50" s="231"/>
      <c r="U50" s="224"/>
      <c r="V50" s="224"/>
      <c r="W50" s="224"/>
      <c r="X50" s="225"/>
      <c r="Y50" s="226"/>
      <c r="Z50" s="224"/>
      <c r="AA50" s="224"/>
      <c r="AB50" s="224"/>
      <c r="AC50" s="224"/>
      <c r="AD50" s="202"/>
      <c r="AE50" s="209"/>
      <c r="AF50" s="207"/>
      <c r="AG50" s="208"/>
      <c r="AH50" s="209"/>
      <c r="AI50" s="210"/>
      <c r="AJ50" s="211"/>
      <c r="AK50" s="214"/>
      <c r="AL50" s="215"/>
      <c r="AM50" s="216"/>
      <c r="AN50" s="217"/>
      <c r="AO50" s="218"/>
      <c r="AP50" s="214"/>
      <c r="AQ50" s="215"/>
      <c r="AR50" s="216"/>
      <c r="AS50" s="214"/>
      <c r="AT50" s="215"/>
      <c r="AU50" s="216"/>
      <c r="AV50" s="202"/>
      <c r="AW50" s="203"/>
      <c r="AX50" s="24">
        <f>IF(ISERROR(MATCH(J50,$AF$67:$AF$110,0)),0,MATCH(J50,$AF$67:$AF$110,0))</f>
        <v>0</v>
      </c>
      <c r="AY50" s="24">
        <f>IF(ISERROR(VLOOKUP(J50,$AF$67:$AG$110,2,FALSE)),0,VLOOKUP(J50,$AF$67:$AG$110,2,FALSE))</f>
        <v>0</v>
      </c>
      <c r="AZ50" s="1">
        <f>IF(ISERROR(AY50*W50),0,AY50*W50)</f>
        <v>0</v>
      </c>
      <c r="BA50" s="57">
        <f>IF(F50="",0,VLOOKUP(#REF!,#REF!,5,0))</f>
        <v>0</v>
      </c>
      <c r="BB50" s="77">
        <f>IF(F50="",0,+X50)</f>
        <v>0</v>
      </c>
      <c r="BC50" s="195">
        <f>IF(BE50=0,"",BH50)</f>
      </c>
      <c r="BD50" s="205">
        <f>IF(F50="","",VLOOKUP(#REF!,#REF!,3,0))</f>
      </c>
      <c r="BE50" s="205">
        <f>IF(W50="",0,IF(BA50="一月",BD50,IF(BA50="一回",BD50*W50)))</f>
        <v>0</v>
      </c>
      <c r="BF50" s="195">
        <f>IF(AND(BI38=1,BI40=2,BI42=3,BI44=4,BI46=5,BI48=6,BI50=100),SUM(BE38:BE48),IF(AND(BI40=2,BI42=3,BI44=4,BI46=5,BI48=6,BI50=100),SUM(BE40:BE48),IF(AND(BI42=3,BI44=4,BI46=5,BI48=6,BI50=100),SUM(BE42:BE48),IF(AND(BI44=4,BI46=5,BI48=6,BI50=100),SUM(BE44:BE48),IF(AND(BI46=5,BI48=6,BI50=100),SUM(BE46:BE48),IF(BI50=7,0,IF(BI50=0,BE50)))))))</f>
        <v>0</v>
      </c>
      <c r="BG50" s="195">
        <f>IF(AND(BI38=1,BI40=2,BI42=3,BI44=4,BI46=5,BI48=6,BI50=100),SUM(AZ38:AZ48),IF(AND(BI40=2,BI42=3,BI44=4,BI46=5,BI48=6,BI50=100),SUM(AZ40:AZ48),IF(AND(BI42=3,BI44=4,BI46=5,BI48=6,BI50=100),SUM(AZ42:AZ48),IF(AND(BI44=4,BI46=5,BI48=6,BI50=100),SUM(AZ44:AZ48),IF(AND(BI46=5,BI48=6,BI50=100),SUM(AZ46:AZ48),IF(BI50=7,0,IF(BI50=0,AZ50)))))))</f>
        <v>0</v>
      </c>
      <c r="BH50" s="195">
        <f>IF($J50="","",IF($J50=$BA$16,"",IF(AND(A51="",AX50=0,W50&lt;&gt;""),"",IF(OR(AND($T74="63",AX50&gt;=28),AND($T74="64",AX50=13)),$BE50,IF(OR(AND($T74="63",AX50&lt;28),AND($T74="64",AX50&lt;&gt;13)),"",IF($W50="",$BR50,IF(AX50&lt;&gt;0,BP50,$BO50)))))))</f>
      </c>
      <c r="BI50" s="178">
        <f>IF(J50="",0,IF(AND(F48=F46,F50=""),100,IF(OR(F48=F50,F50=F52),7,0)))</f>
        <v>0</v>
      </c>
      <c r="BJ50" s="196">
        <f>IF(X50="",0,X50)</f>
        <v>0</v>
      </c>
      <c r="BK50" s="232">
        <f>IF(AND(BI38=1,BI40=2,BI42=3,BI44=4,BI46=5,BI48=6,BI50=100),SUM(BJ38:BJ48),IF(AND(BI40=2,BI42=3,BI44=4,BI46=5,BI48=6,BI50=100),SUM(BJ40:BJ48),IF(AND(BI42=3,BI44=4,BI46=5,BI48=6,BI50=100),SUM(BJ42:BJ48),IF(AND(BI44=4,BI46=5,BI48=6,BI50=100),SUM(BJ44:BJ48),IF(AND(BI46=5,BI48=6,BI50=100),SUM(BJ46:BJ48),IF(BI50=7,0,IF(BI50=0,BJ50)))))))</f>
        <v>0</v>
      </c>
      <c r="BL50" s="178">
        <f>IF(J50=$AM$60,6*W50,IF(OR(J50=$AM$61,J50=$AM$62,J50=$AM$63,J50=$AM$64),VLOOKUP(J50,$AM$61:$AN$64,2,0),0))</f>
        <v>0</v>
      </c>
      <c r="BM50" s="201">
        <f>IF(F50="",X51,IF(AND(F50&lt;&gt;0,J50&lt;&gt;J48,J50&lt;&gt;J52),X51,0))</f>
        <v>0</v>
      </c>
      <c r="BN50" s="178">
        <f>IF(J50=$BL$55,BM50,0)</f>
        <v>0</v>
      </c>
      <c r="BO50" s="180" t="e">
        <f>ROUND(ROUND(BE50*Z74,0)*Z75,0)</f>
        <v>#REF!</v>
      </c>
      <c r="BP50" s="182" t="e">
        <f>ROUND(ROUND(BE50*Z74,0)*Z75,0)+BE50</f>
        <v>#REF!</v>
      </c>
      <c r="BQ50" s="144" t="e">
        <f>ROUND(ROUND(BF50*Z74,0)*Z75,0)</f>
        <v>#REF!</v>
      </c>
      <c r="BR50" s="143" t="e">
        <f>ROUND(ROUND(BF50*Z74,0)*Z75,0)+BG50</f>
        <v>#REF!</v>
      </c>
    </row>
    <row r="51" spans="1:70" ht="18" customHeight="1">
      <c r="A51" s="184"/>
      <c r="B51" s="185"/>
      <c r="C51" s="185"/>
      <c r="D51" s="185"/>
      <c r="E51" s="186"/>
      <c r="F51" s="224"/>
      <c r="G51" s="224"/>
      <c r="H51" s="224"/>
      <c r="I51" s="224"/>
      <c r="J51" s="137"/>
      <c r="K51" s="137"/>
      <c r="L51" s="137"/>
      <c r="M51" s="137"/>
      <c r="N51" s="137"/>
      <c r="O51" s="137"/>
      <c r="P51" s="230"/>
      <c r="Q51" s="230"/>
      <c r="R51" s="230"/>
      <c r="S51" s="231"/>
      <c r="T51" s="231"/>
      <c r="U51" s="224"/>
      <c r="V51" s="224"/>
      <c r="W51" s="224"/>
      <c r="X51" s="187"/>
      <c r="Y51" s="188"/>
      <c r="Z51" s="224"/>
      <c r="AA51" s="224"/>
      <c r="AB51" s="224"/>
      <c r="AC51" s="224"/>
      <c r="AD51" s="189"/>
      <c r="AE51" s="190"/>
      <c r="AF51" s="191"/>
      <c r="AG51" s="192"/>
      <c r="AH51" s="193"/>
      <c r="AI51" s="233"/>
      <c r="AJ51" s="234"/>
      <c r="AK51" s="187"/>
      <c r="AL51" s="194"/>
      <c r="AM51" s="188"/>
      <c r="AN51" s="219"/>
      <c r="AO51" s="220"/>
      <c r="AP51" s="221"/>
      <c r="AQ51" s="222"/>
      <c r="AR51" s="223"/>
      <c r="AS51" s="187"/>
      <c r="AT51" s="194"/>
      <c r="AU51" s="188"/>
      <c r="AV51" s="191"/>
      <c r="AW51" s="206"/>
      <c r="AX51" s="14"/>
      <c r="BC51" s="204"/>
      <c r="BD51" s="204"/>
      <c r="BE51" s="204"/>
      <c r="BF51" s="204"/>
      <c r="BG51" s="204"/>
      <c r="BH51" s="195"/>
      <c r="BI51" s="179"/>
      <c r="BJ51" s="197"/>
      <c r="BK51" s="199"/>
      <c r="BL51" s="179"/>
      <c r="BM51" s="179"/>
      <c r="BN51" s="179"/>
      <c r="BO51" s="181"/>
      <c r="BP51" s="183"/>
      <c r="BQ51" s="144"/>
      <c r="BR51" s="144"/>
    </row>
    <row r="52" spans="1:70" ht="18" customHeight="1">
      <c r="A52" s="227"/>
      <c r="B52" s="228"/>
      <c r="C52" s="228"/>
      <c r="D52" s="228"/>
      <c r="E52" s="229"/>
      <c r="F52" s="224"/>
      <c r="G52" s="224"/>
      <c r="H52" s="224"/>
      <c r="I52" s="224"/>
      <c r="J52" s="137"/>
      <c r="K52" s="137"/>
      <c r="L52" s="137"/>
      <c r="M52" s="137"/>
      <c r="N52" s="137"/>
      <c r="O52" s="137"/>
      <c r="P52" s="230"/>
      <c r="Q52" s="230"/>
      <c r="R52" s="230"/>
      <c r="S52" s="231"/>
      <c r="T52" s="231"/>
      <c r="U52" s="224"/>
      <c r="V52" s="224"/>
      <c r="W52" s="224"/>
      <c r="X52" s="225"/>
      <c r="Y52" s="226"/>
      <c r="Z52" s="224"/>
      <c r="AA52" s="224"/>
      <c r="AB52" s="224"/>
      <c r="AC52" s="224"/>
      <c r="AD52" s="202"/>
      <c r="AE52" s="209"/>
      <c r="AF52" s="207"/>
      <c r="AG52" s="208"/>
      <c r="AH52" s="209"/>
      <c r="AI52" s="210"/>
      <c r="AJ52" s="211"/>
      <c r="AK52" s="214"/>
      <c r="AL52" s="215"/>
      <c r="AM52" s="216"/>
      <c r="AN52" s="217"/>
      <c r="AO52" s="218"/>
      <c r="AP52" s="214"/>
      <c r="AQ52" s="215"/>
      <c r="AR52" s="216"/>
      <c r="AS52" s="214"/>
      <c r="AT52" s="215"/>
      <c r="AU52" s="216"/>
      <c r="AV52" s="202"/>
      <c r="AW52" s="203"/>
      <c r="AX52" s="24">
        <f>IF(ISERROR(MATCH(J52,$AF$67:$AF$110,0)),0,MATCH(J52,$AF$67:$AF$110,0))</f>
        <v>0</v>
      </c>
      <c r="AY52" s="24">
        <f>IF(ISERROR(VLOOKUP(J52,$AF$67:$AG$110,2,FALSE)),0,VLOOKUP(J52,$AF$67:$AG$110,2,FALSE))</f>
        <v>0</v>
      </c>
      <c r="AZ52" s="1">
        <f>IF(ISERROR(AY52*W52),0,AY52*W52)</f>
        <v>0</v>
      </c>
      <c r="BA52" s="57">
        <f>IF(F52="",0,VLOOKUP(#REF!,#REF!,5,0))</f>
        <v>0</v>
      </c>
      <c r="BB52" s="77">
        <f>IF(F52="",0,+X52)</f>
        <v>0</v>
      </c>
      <c r="BC52" s="195">
        <f>IF(BE52=0,"",BH52)</f>
      </c>
      <c r="BD52" s="205">
        <f>IF(F52="","",VLOOKUP(#REF!,#REF!,3,0))</f>
      </c>
      <c r="BE52" s="205">
        <f>IF(W52="",0,IF(BA52="一月",BD52,IF(BA52="一回",BD52*W52)))</f>
        <v>0</v>
      </c>
      <c r="BF52" s="195">
        <f>IF(AND(BI38=1,BI40=2,BI42=3,BI44=4,BI46=5,BI48=6,BI50=7,BI52=100),SUM(BE38:BE50),IF(AND(BI40=2,BI42=3,BI44=4,BI46=5,BI48=6,BI50=7,BI52=100),SUM(BE40:BE50),IF(AND(BI42=3,BI44=4,BI46=5,BI48=6,BI50=7,BI52=100),SUM(BE42:BE50),IF(AND(BI44=4,BI46=5,BI48=6,BI50=7,BI52=100),SUM(BE44:BE50),IF(AND(BI46=5,BI48=6,BI50=7,BI52=100),SUM(BE46:BE50),IF(AND(BI48=6,BI50=7,BI52=100),SUM(BE48:BE50),IF(BI52=8,0,IF(BI52=0,BE52))))))))</f>
        <v>0</v>
      </c>
      <c r="BG52" s="195">
        <f>IF(AND(BI38=1,BI40=2,BI42=3,BI44=4,BI46=5,BI48=6,BI50=7,BI52=100),SUM(AZ38:AZ50),IF(AND(BI40=2,BI42=3,BI44=4,BI46=5,BI48=6,BI50=7,BI52=100),SUM(AZ40:AZ50),IF(AND(BI42=3,BI44=4,BI46=5,BI48=6,BI50=7,BI52=100),SUM(AZ42:AZ50),IF(AND(BI44=4,BI46=5,BI48=6,BI50=7,BI52=100),SUM(AZ44:AZ50),IF(AND(BI46=5,BI48=6,BI50=7,BI52=100),SUM(AZ46:AZ50),IF(AND(BI48=6,BI50=7,BI52=100),SUM(AZ48:AZ50),IF(BI52=8,0,IF(BI52=0,AZ52))))))))</f>
        <v>0</v>
      </c>
      <c r="BH52" s="195">
        <f>IF($J52="","",IF($J52=$BA$16,"",IF(AND(A53="",AX52=0,W52&lt;&gt;""),"",IF(OR(AND($T76="63",AX52&gt;=28),AND($T76="64",AX52=13)),$BE52,IF(OR(AND($T76="63",AX52&lt;28),AND($T76="64",AX52&lt;&gt;13)),"",IF($W52="",$BR52,IF(AX52&lt;&gt;0,BP52,$BO52)))))))</f>
      </c>
      <c r="BI52" s="178">
        <f>IF(J52="",0,IF(AND(F50=F48,F52=""),100,IF(OR(F50=F52,F52=F54),8,0)))</f>
        <v>0</v>
      </c>
      <c r="BJ52" s="196">
        <f>IF(X52="",0,X52)</f>
        <v>0</v>
      </c>
      <c r="BK52" s="198">
        <f>IF(AND(BI38=1,BI40=2,BI42=3,BI44=4,BI46=5,BI48=6,BI50=7,BI52=100),SUM(BJ38:BJ50),IF(AND(BI40=2,BI42=3,BI44=4,BI46=5,BI48=6,BI50=7,BI52=100),SUM(BJ40:BJ50),IF(AND(BI42=3,BI44=4,BI46=5,BI48=6,BI50=7,BI52=100),SUM(BJ42:BJ50),IF(AND(BI44=4,BI46=5,BI48=6,BI50=7,BI52=100),SUM(BJ44:BJ50),IF(AND(BI46=5,BI48=6,BI50=7,BI52=100),SUM(BJ46:BJ50),IF(AND(BI48=6,BI50=7,BI52=100),SUM(BJ48:BJ50),IF(BI52=8,0,IF(BI52=0,BJ52))))))))</f>
        <v>0</v>
      </c>
      <c r="BL52" s="200">
        <f>IF(J52=$AM$60,6*W52,IF(OR(J52=$AM$61,J52=$AM$62,J52=$AM$63,J52=$AM$64),VLOOKUP(J52,$AM$61:$AN$64,2,0),""))</f>
      </c>
      <c r="BM52" s="201">
        <f>IF(F52="",X53,IF(AND(F52&lt;&gt;0,J52&lt;&gt;J50,J52&lt;&gt;J54),X53,0))</f>
        <v>0</v>
      </c>
      <c r="BN52" s="178">
        <f>IF(J52=$BL$55,BM52,0)</f>
        <v>0</v>
      </c>
      <c r="BO52" s="180" t="e">
        <f>ROUND(ROUND(BE52*Z76,0)*Z77,0)</f>
        <v>#REF!</v>
      </c>
      <c r="BP52" s="182" t="e">
        <f>ROUND(ROUND(BE52*Z76,0)*Z77,0)+BE52</f>
        <v>#REF!</v>
      </c>
      <c r="BQ52" s="144" t="e">
        <f>ROUND(ROUND(BF52*Z76,0)*Z77,0)</f>
        <v>#REF!</v>
      </c>
      <c r="BR52" s="143" t="e">
        <f>ROUND(ROUND(BF52*Z76,0)*Z77,0)+BG52</f>
        <v>#REF!</v>
      </c>
    </row>
    <row r="53" spans="1:70" ht="18" customHeight="1" thickBot="1">
      <c r="A53" s="184"/>
      <c r="B53" s="185"/>
      <c r="C53" s="185"/>
      <c r="D53" s="185"/>
      <c r="E53" s="186"/>
      <c r="F53" s="224"/>
      <c r="G53" s="224"/>
      <c r="H53" s="224"/>
      <c r="I53" s="224"/>
      <c r="J53" s="137"/>
      <c r="K53" s="137"/>
      <c r="L53" s="137"/>
      <c r="M53" s="137"/>
      <c r="N53" s="137"/>
      <c r="O53" s="137"/>
      <c r="P53" s="230"/>
      <c r="Q53" s="230"/>
      <c r="R53" s="230"/>
      <c r="S53" s="231"/>
      <c r="T53" s="231"/>
      <c r="U53" s="224"/>
      <c r="V53" s="224"/>
      <c r="W53" s="224"/>
      <c r="X53" s="187"/>
      <c r="Y53" s="188"/>
      <c r="Z53" s="224"/>
      <c r="AA53" s="224"/>
      <c r="AB53" s="224"/>
      <c r="AC53" s="224"/>
      <c r="AD53" s="189"/>
      <c r="AE53" s="190"/>
      <c r="AF53" s="191"/>
      <c r="AG53" s="192"/>
      <c r="AH53" s="193"/>
      <c r="AI53" s="212"/>
      <c r="AJ53" s="213"/>
      <c r="AK53" s="187"/>
      <c r="AL53" s="194"/>
      <c r="AM53" s="188"/>
      <c r="AN53" s="219"/>
      <c r="AO53" s="220"/>
      <c r="AP53" s="221"/>
      <c r="AQ53" s="222"/>
      <c r="AR53" s="223"/>
      <c r="AS53" s="187"/>
      <c r="AT53" s="194"/>
      <c r="AU53" s="188"/>
      <c r="AV53" s="191"/>
      <c r="AW53" s="206"/>
      <c r="AX53" s="14"/>
      <c r="BC53" s="204"/>
      <c r="BD53" s="204"/>
      <c r="BE53" s="204"/>
      <c r="BF53" s="204"/>
      <c r="BG53" s="204"/>
      <c r="BH53" s="195"/>
      <c r="BI53" s="179"/>
      <c r="BJ53" s="197"/>
      <c r="BK53" s="199"/>
      <c r="BL53" s="200"/>
      <c r="BM53" s="179"/>
      <c r="BN53" s="179"/>
      <c r="BO53" s="181"/>
      <c r="BP53" s="183"/>
      <c r="BQ53" s="144"/>
      <c r="BR53" s="144"/>
    </row>
    <row r="54" spans="1:66" ht="21" customHeight="1" thickBot="1" thickTop="1">
      <c r="A54" s="167" t="s">
        <v>128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9"/>
      <c r="P54" s="170"/>
      <c r="Q54" s="171"/>
      <c r="R54" s="171"/>
      <c r="S54" s="171"/>
      <c r="T54" s="172"/>
      <c r="U54" s="176" t="s">
        <v>40</v>
      </c>
      <c r="V54" s="176"/>
      <c r="W54" s="176"/>
      <c r="X54" s="138">
        <f>IF(SUM(BB38:BB53)=0,"",SUM(BB38:BB53))</f>
      </c>
      <c r="Y54" s="140"/>
      <c r="Z54" s="154"/>
      <c r="AA54" s="155"/>
      <c r="AB54" s="154"/>
      <c r="AC54" s="155"/>
      <c r="AD54" s="154">
        <f>IF(SUM(AD38,AD40,AD42,AD44,AD46,AD48,AD50,AD52)=0,"",SUM(AD38,AD40,AD42,AD44,AD46,AD48,AD50,AD52))</f>
      </c>
      <c r="AE54" s="155"/>
      <c r="AF54" s="156">
        <f>IF(SUM(AF38,AF40,AF42,AF44,AF46,AF48,AF50,AF52)=0,"",SUM(AF38,AF40,AF42,AF44,AF46,AF48,AF50,AF52))</f>
      </c>
      <c r="AG54" s="157"/>
      <c r="AH54" s="158"/>
      <c r="AI54" s="159"/>
      <c r="AJ54" s="160"/>
      <c r="AK54" s="138">
        <f>IF(SUM(AK38,AK40,AK42,AK44,AK46,AK48,AK50,AK52)=0,"",SUM(AK38,AK40,AK42,AK44,AK46,AK48,AK50,AK52))</f>
      </c>
      <c r="AL54" s="139"/>
      <c r="AM54" s="140"/>
      <c r="AN54" s="163">
        <f>IF(F54="","",0.9)</f>
      </c>
      <c r="AO54" s="164"/>
      <c r="AP54" s="138">
        <f>IF(SUM(AP38,AP40,AP42,AP44,AP46,AP48,AP50,AP52)=0,"",SUM(AP38,AP40,AP42,AP44,AP46,AP48,AP50,AP52))</f>
      </c>
      <c r="AQ54" s="139"/>
      <c r="AR54" s="140"/>
      <c r="AS54" s="138">
        <f>IF(SUM(AS38,AS40,AS42,AS44,AS46,AS48,AS50,AS52)=0,"",SUM(AS38,AS40,AS42,AS44,AS46,AS48,AS50,AS52))</f>
      </c>
      <c r="AT54" s="139"/>
      <c r="AU54" s="140"/>
      <c r="AV54" s="141">
        <f>IF(SUM(AV38,AV40,AV42,AV44,AV46,AV48,AV50,AV52)=0,"",SUM(AV38,AV40,AV42,AV44,AV46,AV48,AV50,AV52))</f>
      </c>
      <c r="AW54" s="142"/>
      <c r="BC54" s="143">
        <f>SUM(BC38:BC53)</f>
        <v>0</v>
      </c>
      <c r="BG54" s="143"/>
      <c r="BL54" s="24">
        <f>SUM(BL38:BL53)</f>
        <v>0</v>
      </c>
      <c r="BM54" s="82">
        <f>SUM(BM38:BM53)</f>
        <v>0</v>
      </c>
      <c r="BN54" s="24">
        <f>SUM(BN38:BN53)</f>
        <v>0</v>
      </c>
    </row>
    <row r="55" spans="1:64" ht="18" customHeight="1" thickBot="1" thickTop="1">
      <c r="A55" s="145">
        <f>IF(OR(A39&lt;&gt;"",A41&lt;&gt;"",A43&lt;&gt;"",A45&lt;&gt;"",A47&lt;&gt;"",A49&lt;&gt;"",A51&lt;&gt;""),AZ62,"")</f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7"/>
      <c r="P55" s="173"/>
      <c r="Q55" s="174"/>
      <c r="R55" s="174"/>
      <c r="S55" s="174"/>
      <c r="T55" s="175"/>
      <c r="U55" s="177"/>
      <c r="V55" s="177"/>
      <c r="W55" s="177"/>
      <c r="X55" s="127">
        <f>IF(BM54=0,"",BM54)</f>
      </c>
      <c r="Y55" s="129"/>
      <c r="Z55" s="148"/>
      <c r="AA55" s="149"/>
      <c r="AB55" s="148"/>
      <c r="AC55" s="149"/>
      <c r="AD55" s="150">
        <f>IF(SUM(AD39,AD41,AD43,AD45,AD47,AD49,AD51,AD53)=0,"",SUM(AD39,AD41,AD43,AD45,AD47,AD49,AD51,AD53))</f>
      </c>
      <c r="AE55" s="151"/>
      <c r="AF55" s="130">
        <f>IF(SUM(AF39,AF41,AF43,AF45,AF47,AF49,AF51,AF53)=0,"",SUM(AF39,AF41,AF43,AF45,AF47,AF49,AF51,AF53))</f>
      </c>
      <c r="AG55" s="152"/>
      <c r="AH55" s="153"/>
      <c r="AI55" s="161"/>
      <c r="AJ55" s="162"/>
      <c r="AK55" s="127">
        <f>IF(SUM(AK39,AK41,AK43,AK45,AK47,AK49,AK51,AK53)=0,"",SUM(AK39,AK41,AK43,AK45,AK47,AK49,AK51,AK53))</f>
      </c>
      <c r="AL55" s="128"/>
      <c r="AM55" s="129"/>
      <c r="AN55" s="165"/>
      <c r="AO55" s="166"/>
      <c r="AP55" s="127">
        <f>IF(SUM(AP39,AP41,AP43,AP45,AP47,AP49,AP51,AP53)=0,"",SUM(AP39,AP41,AP43,AP45,AP47,AP49,AP51,AP53))</f>
      </c>
      <c r="AQ55" s="128"/>
      <c r="AR55" s="129"/>
      <c r="AS55" s="127">
        <f>IF(SUM(AS39,AS41,AS43,AS45,AS47,AS49,AS51,AS53)=0,"",SUM(AS39,AS41,AS43,AS45,AS47,AS49,AS51,AS53))</f>
      </c>
      <c r="AT55" s="128"/>
      <c r="AU55" s="129"/>
      <c r="AV55" s="130">
        <f>IF(SUM(AV39,AV41,AV43,AV45,AV47,AV49,AV51,AV53)=0,"",SUM(AV39,AV41,AV43,AV45,AV47,AV49,AV51,AV53))</f>
      </c>
      <c r="AW55" s="131"/>
      <c r="AX55" s="14"/>
      <c r="BC55" s="143"/>
      <c r="BG55" s="144"/>
      <c r="BL55" s="83" t="s">
        <v>56</v>
      </c>
    </row>
    <row r="56" spans="40:64" ht="18.75" customHeight="1">
      <c r="AN56" s="132" t="s">
        <v>133</v>
      </c>
      <c r="AO56" s="133"/>
      <c r="AP56" s="133"/>
      <c r="AQ56" s="133"/>
      <c r="AR56" s="133"/>
      <c r="AS56" s="134">
        <f>IF(SUM(AS54:AW55)=0,"",SUM(AS54:AW55))</f>
      </c>
      <c r="AT56" s="135"/>
      <c r="AU56" s="135"/>
      <c r="AV56" s="136"/>
      <c r="AW56" s="136"/>
      <c r="BL56" s="83"/>
    </row>
    <row r="57" spans="17:64" ht="18.75" customHeight="1" hidden="1"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>
        <f>+AR17+1</f>
        <v>1</v>
      </c>
      <c r="AT57" s="84">
        <f>+AS57+1</f>
        <v>2</v>
      </c>
      <c r="AU57" s="84">
        <f>+AT57+1</f>
        <v>3</v>
      </c>
      <c r="BL57" s="85"/>
    </row>
    <row r="58" spans="10:64" ht="18.75" customHeight="1" hidden="1">
      <c r="J58" s="137">
        <f>IF(F58="","",#REF!)</f>
      </c>
      <c r="K58" s="137"/>
      <c r="L58" s="137"/>
      <c r="M58" s="137"/>
      <c r="N58" s="137"/>
      <c r="O58" s="137"/>
      <c r="BL58" s="85"/>
    </row>
    <row r="59" spans="10:64" ht="18.75" customHeight="1" hidden="1">
      <c r="J59" s="137"/>
      <c r="K59" s="137"/>
      <c r="L59" s="137"/>
      <c r="M59" s="137"/>
      <c r="N59" s="137"/>
      <c r="O59" s="137"/>
      <c r="AU59" s="86"/>
      <c r="BL59" s="85"/>
    </row>
    <row r="60" spans="39:64" ht="18.75" customHeight="1" hidden="1">
      <c r="AM60" s="87" t="s">
        <v>138</v>
      </c>
      <c r="AN60" s="88">
        <v>6</v>
      </c>
      <c r="BL60" s="85"/>
    </row>
    <row r="61" spans="14:72" ht="18.75" customHeight="1" hidden="1">
      <c r="N61" s="24" t="s">
        <v>99</v>
      </c>
      <c r="O61" s="24" t="s">
        <v>100</v>
      </c>
      <c r="T61" s="24" t="s">
        <v>150</v>
      </c>
      <c r="V61" s="26" t="s">
        <v>112</v>
      </c>
      <c r="AM61" s="89" t="s">
        <v>123</v>
      </c>
      <c r="AN61" s="26">
        <v>540</v>
      </c>
      <c r="AU61" s="86"/>
      <c r="BL61" s="85"/>
      <c r="BT61" s="20"/>
    </row>
    <row r="62" spans="13:72" ht="18.75" customHeight="1" hidden="1">
      <c r="M62" s="24">
        <v>38</v>
      </c>
      <c r="O62" s="24">
        <f>IF(AF38="",0,10)</f>
        <v>0</v>
      </c>
      <c r="T62" s="24">
        <f>LEFT(P38,2)</f>
      </c>
      <c r="V62" s="78">
        <f>+COUNTIF(J38,"*合計*")</f>
        <v>0</v>
      </c>
      <c r="X62" s="124" t="e">
        <f>VLOOKUP($A38,#REF!,3,0)</f>
        <v>#REF!</v>
      </c>
      <c r="Y62" s="124"/>
      <c r="Z62" s="124" t="e">
        <f>IF(OR(X62=$BA$76,X62=$BA$77),VLOOKUP(X62,$BA$76:$BB$77,2,0),IF(X63=$BB$68,VLOOKUP($X62,$BA$69:$BD$75,2,FALSE),IF(X63=$BC$68,VLOOKUP($X62,$BA$69:$BD$75,3,FALSE),VLOOKUP($X62,$BA$69:$BD78,4,FALSE))))</f>
        <v>#REF!</v>
      </c>
      <c r="AA62" s="124"/>
      <c r="AB62" s="124"/>
      <c r="AD62" s="125"/>
      <c r="AE62" s="125"/>
      <c r="AM62" s="89" t="s">
        <v>124</v>
      </c>
      <c r="AN62" s="26">
        <v>290</v>
      </c>
      <c r="AZ62" s="24" t="s">
        <v>132</v>
      </c>
      <c r="BL62" s="85"/>
      <c r="BT62" s="20"/>
    </row>
    <row r="63" spans="1:72" ht="18.75" customHeight="1" hidden="1">
      <c r="A63" s="11"/>
      <c r="B63" s="9"/>
      <c r="C63" s="10"/>
      <c r="J63" s="10"/>
      <c r="K63" s="12"/>
      <c r="M63" s="24">
        <v>39</v>
      </c>
      <c r="N63" s="24">
        <f>IF(A39="",0,1)</f>
        <v>0</v>
      </c>
      <c r="P63" s="24">
        <f>N63+O62</f>
        <v>0</v>
      </c>
      <c r="V63" s="79"/>
      <c r="X63" s="126" t="e">
        <f>VLOOKUP($A38,#REF!,4,0)</f>
        <v>#REF!</v>
      </c>
      <c r="Y63" s="126"/>
      <c r="Z63" s="124" t="e">
        <f>VLOOKUP($X63,$AY$68:$AZ$72,2,0)</f>
        <v>#REF!</v>
      </c>
      <c r="AA63" s="124"/>
      <c r="AB63" s="124"/>
      <c r="AM63" s="89" t="s">
        <v>125</v>
      </c>
      <c r="AN63" s="26">
        <v>500</v>
      </c>
      <c r="BT63" s="20"/>
    </row>
    <row r="64" spans="1:72" ht="18.75" customHeight="1" hidden="1">
      <c r="A64" s="11"/>
      <c r="B64" s="9"/>
      <c r="C64" s="10"/>
      <c r="J64" s="10"/>
      <c r="K64" s="12"/>
      <c r="M64" s="24">
        <v>40</v>
      </c>
      <c r="O64" s="24">
        <f>IF(AF40="",0,10)</f>
        <v>0</v>
      </c>
      <c r="T64" s="24">
        <f>LEFT(P40,2)</f>
      </c>
      <c r="V64" s="78">
        <f>+COUNTIF(J40,"*合計*")</f>
        <v>0</v>
      </c>
      <c r="X64" s="124" t="e">
        <f>VLOOKUP($A40,#REF!,3,0)</f>
        <v>#REF!</v>
      </c>
      <c r="Y64" s="124"/>
      <c r="Z64" s="124" t="e">
        <f>IF(V64=1,Z62,IF(OR(X64=$BA$76,X64=$BA$77),VLOOKUP(X64,$BA$76:$BB$77,2,0),IF(X65=$BB$68,VLOOKUP($X64,$BA$69:$BD$75,2,FALSE),IF(X65=$BC$68,VLOOKUP($X64,$BA$69:$BD$75,3,FALSE),VLOOKUP($X64,$BA$69:$BD$75,4,FALSE)))))</f>
        <v>#REF!</v>
      </c>
      <c r="AA64" s="124"/>
      <c r="AB64" s="124"/>
      <c r="AD64" s="125"/>
      <c r="AE64" s="125"/>
      <c r="AG64" s="90"/>
      <c r="AH64" s="90"/>
      <c r="AM64" s="89" t="s">
        <v>126</v>
      </c>
      <c r="AN64" s="26">
        <v>250</v>
      </c>
      <c r="BT64" s="20"/>
    </row>
    <row r="65" spans="1:72" ht="18.75" customHeight="1" hidden="1">
      <c r="A65" s="11"/>
      <c r="B65" s="9"/>
      <c r="C65" s="10"/>
      <c r="J65" s="10"/>
      <c r="K65" s="12"/>
      <c r="M65" s="24">
        <v>41</v>
      </c>
      <c r="N65" s="24">
        <f>IF(A41="",0,1)</f>
        <v>0</v>
      </c>
      <c r="P65" s="24">
        <f>N65+O64</f>
        <v>0</v>
      </c>
      <c r="V65" s="79"/>
      <c r="X65" s="124" t="e">
        <f>VLOOKUP($A40,#REF!,4,0)</f>
        <v>#REF!</v>
      </c>
      <c r="Y65" s="124"/>
      <c r="Z65" s="124" t="e">
        <f>IF(V64=1,Z63,VLOOKUP($X65,$AY$68:$AZ$72,2,0))</f>
        <v>#REF!</v>
      </c>
      <c r="AA65" s="124"/>
      <c r="AB65" s="124"/>
      <c r="AF65" s="76"/>
      <c r="AG65" s="76"/>
      <c r="AH65" s="76"/>
      <c r="BT65" s="20"/>
    </row>
    <row r="66" spans="1:72" ht="18.75" customHeight="1" hidden="1">
      <c r="A66" s="11"/>
      <c r="B66" s="9"/>
      <c r="C66" s="10"/>
      <c r="J66" s="10"/>
      <c r="K66" s="12"/>
      <c r="M66" s="24">
        <v>42</v>
      </c>
      <c r="O66" s="24">
        <f>IF(AF42="",0,10)</f>
        <v>0</v>
      </c>
      <c r="T66" s="24">
        <f>LEFT(P42,2)</f>
      </c>
      <c r="V66" s="78">
        <f>+COUNTIF(J42,"*合計*")</f>
        <v>0</v>
      </c>
      <c r="X66" s="124" t="e">
        <f>VLOOKUP($A42,#REF!,3,0)</f>
        <v>#REF!</v>
      </c>
      <c r="Y66" s="124"/>
      <c r="Z66" s="124" t="e">
        <f>IF(V66=1,Z64,IF(OR(X66=$BA$76,X66=$BA$77),VLOOKUP(X66,$BA$76:$BB$77,2,0),IF(X67=$BB$68,VLOOKUP($X66,$BA$69:$BD$75,2,FALSE),IF(X67=$BC$68,VLOOKUP($X66,$BA$69:$BC$75,3,FALSE),VLOOKUP($X66,$BA$69:$BD$75,4,FALSE)))))</f>
        <v>#REF!</v>
      </c>
      <c r="AA66" s="124"/>
      <c r="AB66" s="124"/>
      <c r="AD66" s="125"/>
      <c r="AE66" s="125"/>
      <c r="AF66" s="76"/>
      <c r="AG66" s="76"/>
      <c r="AH66" s="91"/>
      <c r="AI66" s="76"/>
      <c r="AJ66" s="76"/>
      <c r="AK66" s="76"/>
      <c r="AL66" s="76"/>
      <c r="AM66" s="76"/>
      <c r="AN66" s="76"/>
      <c r="AO66" s="76"/>
      <c r="AX66" s="92"/>
      <c r="AY66" s="93"/>
      <c r="AZ66" s="93"/>
      <c r="BA66" s="93"/>
      <c r="BB66" s="93"/>
      <c r="BC66" s="93"/>
      <c r="BD66" s="93"/>
      <c r="BE66" s="94"/>
      <c r="BJ66" s="95"/>
      <c r="BT66" s="20"/>
    </row>
    <row r="67" spans="1:72" ht="18.75" customHeight="1" hidden="1">
      <c r="A67" s="11"/>
      <c r="B67" s="9"/>
      <c r="C67" s="10"/>
      <c r="J67" s="10"/>
      <c r="K67" s="12"/>
      <c r="M67" s="24">
        <v>43</v>
      </c>
      <c r="N67" s="24">
        <f>IF(A43="",0,1)</f>
        <v>0</v>
      </c>
      <c r="P67" s="24">
        <f>N67+O66</f>
        <v>0</v>
      </c>
      <c r="V67" s="79"/>
      <c r="X67" s="124" t="e">
        <f>VLOOKUP($A42,#REF!,4,0)</f>
        <v>#REF!</v>
      </c>
      <c r="Y67" s="124"/>
      <c r="Z67" s="124" t="e">
        <f>IF(V66=1,Z65,VLOOKUP($X67,$AY$68:$AZ$72,2,0))</f>
        <v>#REF!</v>
      </c>
      <c r="AA67" s="124"/>
      <c r="AB67" s="124"/>
      <c r="AE67" s="96">
        <v>1</v>
      </c>
      <c r="AF67" s="87" t="s">
        <v>164</v>
      </c>
      <c r="AG67" s="88">
        <v>72</v>
      </c>
      <c r="AH67" s="91" t="s">
        <v>151</v>
      </c>
      <c r="AI67" s="11"/>
      <c r="AJ67" s="11"/>
      <c r="AK67" s="11"/>
      <c r="AL67" s="11"/>
      <c r="AM67" s="11"/>
      <c r="AN67" s="11"/>
      <c r="AO67" s="15"/>
      <c r="AP67" s="16"/>
      <c r="AX67" s="97"/>
      <c r="AY67" s="95"/>
      <c r="AZ67" s="95"/>
      <c r="BA67" s="95"/>
      <c r="BB67" s="95"/>
      <c r="BC67" s="95"/>
      <c r="BD67" s="95"/>
      <c r="BE67" s="98"/>
      <c r="BJ67" s="95"/>
      <c r="BT67" s="20"/>
    </row>
    <row r="68" spans="1:72" ht="18.75" customHeight="1" hidden="1">
      <c r="A68" s="11"/>
      <c r="B68" s="9"/>
      <c r="C68" s="10"/>
      <c r="J68" s="10"/>
      <c r="K68" s="12"/>
      <c r="M68" s="24">
        <v>44</v>
      </c>
      <c r="O68" s="24">
        <f>IF(AF44="",0,10)</f>
        <v>0</v>
      </c>
      <c r="T68" s="24">
        <f>LEFT(P44,2)</f>
      </c>
      <c r="V68" s="78">
        <f>+COUNTIF(J44,"*合計*")</f>
        <v>0</v>
      </c>
      <c r="X68" s="124" t="e">
        <f>VLOOKUP($A44,#REF!,3,0)</f>
        <v>#REF!</v>
      </c>
      <c r="Y68" s="124"/>
      <c r="Z68" s="124" t="e">
        <f>IF(V68=1,Z66,IF(OR(X68=$BA$76,X68=$BA$77),VLOOKUP(X68,$BA$76:$BB$77,2,0),IF(X69=$BB$68,VLOOKUP($X68,$BA$69:$BD$75,2,FALSE),IF(X69=$BC$68,VLOOKUP($X68,$BA$69:$BD$75,3,FALSE),VLOOKUP($X68,$BA$69:$BD$75,4,FALSE)))))</f>
        <v>#REF!</v>
      </c>
      <c r="AA68" s="124"/>
      <c r="AB68" s="124"/>
      <c r="AE68" s="96">
        <v>2</v>
      </c>
      <c r="AF68" s="87" t="s">
        <v>166</v>
      </c>
      <c r="AG68" s="88">
        <v>144</v>
      </c>
      <c r="AH68" s="91" t="s">
        <v>151</v>
      </c>
      <c r="AI68" s="11"/>
      <c r="AJ68" s="11"/>
      <c r="AK68" s="11"/>
      <c r="AL68" s="11"/>
      <c r="AM68" s="11"/>
      <c r="AN68" s="11"/>
      <c r="AO68" s="15"/>
      <c r="AP68" s="16"/>
      <c r="AX68" s="97"/>
      <c r="AY68" s="99" t="s">
        <v>134</v>
      </c>
      <c r="AZ68" s="26">
        <v>1</v>
      </c>
      <c r="BA68" s="26"/>
      <c r="BB68" s="26" t="s">
        <v>134</v>
      </c>
      <c r="BC68" s="100" t="s">
        <v>102</v>
      </c>
      <c r="BD68" s="26" t="s">
        <v>208</v>
      </c>
      <c r="BE68" s="98"/>
      <c r="BJ68" s="101"/>
      <c r="BK68" s="95"/>
      <c r="BL68" s="91"/>
      <c r="BM68" s="91"/>
      <c r="BN68" s="91"/>
      <c r="BO68" s="91"/>
      <c r="BT68" s="20"/>
    </row>
    <row r="69" spans="1:72" ht="18.75" customHeight="1" hidden="1">
      <c r="A69" s="11"/>
      <c r="B69" s="102"/>
      <c r="C69" s="10"/>
      <c r="J69" s="10"/>
      <c r="K69" s="12"/>
      <c r="M69" s="24">
        <v>45</v>
      </c>
      <c r="N69" s="24">
        <f>IF(A45="",0,1)</f>
        <v>0</v>
      </c>
      <c r="P69" s="24">
        <f>N69+O68</f>
        <v>0</v>
      </c>
      <c r="V69" s="79"/>
      <c r="X69" s="124" t="e">
        <f>VLOOKUP($A44,#REF!,4,0)</f>
        <v>#REF!</v>
      </c>
      <c r="Y69" s="124"/>
      <c r="Z69" s="124" t="e">
        <f>IF(V68=1,Z67,VLOOKUP($X69,$AY$68:$AZ$72,2,0))</f>
        <v>#REF!</v>
      </c>
      <c r="AA69" s="124"/>
      <c r="AB69" s="124"/>
      <c r="AE69" s="96">
        <v>3</v>
      </c>
      <c r="AF69" s="87" t="s">
        <v>167</v>
      </c>
      <c r="AG69" s="88">
        <v>48</v>
      </c>
      <c r="AH69" s="91" t="s">
        <v>151</v>
      </c>
      <c r="AI69" s="11"/>
      <c r="AJ69" s="11"/>
      <c r="AK69" s="11"/>
      <c r="AL69" s="11"/>
      <c r="AM69" s="11"/>
      <c r="AN69" s="11"/>
      <c r="AO69" s="15"/>
      <c r="AP69" s="16"/>
      <c r="AX69" s="97"/>
      <c r="AY69" s="99" t="s">
        <v>102</v>
      </c>
      <c r="AZ69" s="77">
        <v>1</v>
      </c>
      <c r="BA69" s="26" t="s">
        <v>101</v>
      </c>
      <c r="BB69" s="103">
        <v>0.137</v>
      </c>
      <c r="BC69" s="104">
        <v>0.1</v>
      </c>
      <c r="BD69" s="104">
        <v>0.055</v>
      </c>
      <c r="BE69" s="98"/>
      <c r="BJ69" s="105"/>
      <c r="BK69" s="106"/>
      <c r="BL69" s="106"/>
      <c r="BM69" s="95"/>
      <c r="BN69" s="95"/>
      <c r="BO69" s="95"/>
      <c r="BT69" s="20"/>
    </row>
    <row r="70" spans="1:72" ht="18.75" customHeight="1" hidden="1">
      <c r="A70" s="11"/>
      <c r="B70" s="102"/>
      <c r="C70" s="10"/>
      <c r="J70" s="10"/>
      <c r="K70" s="12"/>
      <c r="M70" s="24">
        <v>46</v>
      </c>
      <c r="O70" s="24">
        <f>IF(AF46="",0,10)</f>
        <v>0</v>
      </c>
      <c r="T70" s="24">
        <f>LEFT(P46,2)</f>
      </c>
      <c r="V70" s="78">
        <f>+COUNTIF(J46,"*合計*")</f>
        <v>0</v>
      </c>
      <c r="X70" s="124" t="e">
        <f>VLOOKUP($A46,#REF!,3,0)</f>
        <v>#REF!</v>
      </c>
      <c r="Y70" s="124"/>
      <c r="Z70" s="124" t="e">
        <f>IF(V70=1,Z68,IF(OR(X70=$BA$76,X70=$BA$77),VLOOKUP(X70,$BA$76:$BB$77,2,0),IF(X71=$BB$68,VLOOKUP($X70,$BA$69:$BD$75,2,FALSE),IF(X71=$BC$68,VLOOKUP($X70,$BA$69:$BD$75,3,FALSE),VLOOKUP($X70,$BA$69:$BD$75,4,FALSE)))))</f>
        <v>#REF!</v>
      </c>
      <c r="AA70" s="124"/>
      <c r="AB70" s="124"/>
      <c r="AE70" s="96">
        <v>4</v>
      </c>
      <c r="AF70" s="87" t="s">
        <v>165</v>
      </c>
      <c r="AG70" s="88">
        <v>96</v>
      </c>
      <c r="AH70" s="91" t="s">
        <v>151</v>
      </c>
      <c r="AI70" s="11"/>
      <c r="AJ70" s="11"/>
      <c r="AK70" s="11"/>
      <c r="AL70" s="11"/>
      <c r="AM70" s="11"/>
      <c r="AN70" s="11"/>
      <c r="AO70" s="15"/>
      <c r="AP70" s="16"/>
      <c r="AX70" s="97"/>
      <c r="AY70" s="99" t="s">
        <v>104</v>
      </c>
      <c r="AZ70" s="77">
        <v>1</v>
      </c>
      <c r="BA70" s="26" t="s">
        <v>103</v>
      </c>
      <c r="BB70" s="103">
        <v>0.059</v>
      </c>
      <c r="BC70" s="104">
        <v>0.043</v>
      </c>
      <c r="BD70" s="104">
        <v>0.023</v>
      </c>
      <c r="BE70" s="98"/>
      <c r="BJ70" s="105"/>
      <c r="BK70" s="106"/>
      <c r="BL70" s="106"/>
      <c r="BM70" s="95"/>
      <c r="BN70" s="95"/>
      <c r="BO70" s="95"/>
      <c r="BT70" s="20"/>
    </row>
    <row r="71" spans="1:72" ht="18.75" customHeight="1" hidden="1">
      <c r="A71" s="11"/>
      <c r="B71" s="102"/>
      <c r="C71" s="10"/>
      <c r="J71" s="10"/>
      <c r="K71" s="12"/>
      <c r="M71" s="24">
        <v>47</v>
      </c>
      <c r="N71" s="24">
        <f>IF(A47="",0,1)</f>
        <v>0</v>
      </c>
      <c r="P71" s="24">
        <f>N71+O70</f>
        <v>0</v>
      </c>
      <c r="V71" s="79"/>
      <c r="X71" s="124" t="e">
        <f>VLOOKUP($A46,#REF!,4,0)</f>
        <v>#REF!</v>
      </c>
      <c r="Y71" s="124"/>
      <c r="Z71" s="124" t="e">
        <f>IF(V70=1,Z69,VLOOKUP($X71,$AY$68:$AZ$72,2,0))</f>
        <v>#REF!</v>
      </c>
      <c r="AA71" s="124"/>
      <c r="AB71" s="124"/>
      <c r="AE71" s="96">
        <v>5</v>
      </c>
      <c r="AF71" s="87" t="s">
        <v>139</v>
      </c>
      <c r="AG71" s="88">
        <v>24</v>
      </c>
      <c r="AH71" s="91" t="s">
        <v>151</v>
      </c>
      <c r="AI71" s="11"/>
      <c r="AJ71" s="11"/>
      <c r="AK71" s="11"/>
      <c r="AL71" s="11"/>
      <c r="AM71" s="11"/>
      <c r="AN71" s="11"/>
      <c r="AO71" s="15"/>
      <c r="AP71" s="16"/>
      <c r="AT71" s="107"/>
      <c r="AX71" s="97"/>
      <c r="AY71" s="99" t="s">
        <v>137</v>
      </c>
      <c r="AZ71" s="77">
        <v>0.9</v>
      </c>
      <c r="BA71" s="26" t="s">
        <v>105</v>
      </c>
      <c r="BB71" s="103">
        <v>0.047</v>
      </c>
      <c r="BC71" s="104">
        <v>0.034</v>
      </c>
      <c r="BD71" s="104">
        <v>0.019</v>
      </c>
      <c r="BE71" s="98"/>
      <c r="BJ71" s="105"/>
      <c r="BK71" s="106"/>
      <c r="BL71" s="106"/>
      <c r="BM71" s="95"/>
      <c r="BN71" s="95"/>
      <c r="BO71" s="95"/>
      <c r="BT71" s="20"/>
    </row>
    <row r="72" spans="1:72" ht="18.75" customHeight="1" hidden="1">
      <c r="A72" s="11"/>
      <c r="B72" s="102"/>
      <c r="C72" s="10"/>
      <c r="J72" s="10"/>
      <c r="K72" s="12"/>
      <c r="M72" s="24">
        <v>48</v>
      </c>
      <c r="O72" s="24">
        <f>IF(AF48="",0,10)</f>
        <v>0</v>
      </c>
      <c r="T72" s="24">
        <f>LEFT(P48,2)</f>
      </c>
      <c r="V72" s="78">
        <f>+COUNTIF(J48,"*合計*")</f>
        <v>0</v>
      </c>
      <c r="X72" s="124" t="e">
        <f>VLOOKUP($A48,#REF!,3,0)</f>
        <v>#REF!</v>
      </c>
      <c r="Y72" s="124"/>
      <c r="Z72" s="124" t="e">
        <f>IF(V72=1,Z70,IF(OR(X72=$BA$76,X72=$BA$77),VLOOKUP(X72,$BA$76:$BB$77,2,0),IF(X73=$BB$68,VLOOKUP($X72,$BA$69:$BD$75,2,FALSE),IF(X73=$BC$68,VLOOKUP($X72,$BA$69:$BD$75,3,FALSE),VLOOKUP($X72,$BA$69:$BD$75,4,FALSE)))))</f>
        <v>#REF!</v>
      </c>
      <c r="AA72" s="124"/>
      <c r="AB72" s="124"/>
      <c r="AE72" s="96">
        <v>6</v>
      </c>
      <c r="AF72" s="87" t="s">
        <v>140</v>
      </c>
      <c r="AG72" s="88">
        <v>48</v>
      </c>
      <c r="AH72" s="91" t="s">
        <v>151</v>
      </c>
      <c r="AI72" s="11"/>
      <c r="AJ72" s="11"/>
      <c r="AK72" s="11"/>
      <c r="AL72" s="11"/>
      <c r="AM72" s="11"/>
      <c r="AN72" s="11"/>
      <c r="AO72" s="15"/>
      <c r="AP72" s="16"/>
      <c r="AX72" s="97"/>
      <c r="AY72" s="99" t="s">
        <v>207</v>
      </c>
      <c r="AZ72" s="77">
        <v>0.8</v>
      </c>
      <c r="BA72" s="26" t="s">
        <v>106</v>
      </c>
      <c r="BB72" s="108">
        <v>0.083</v>
      </c>
      <c r="BC72" s="109">
        <v>0.06</v>
      </c>
      <c r="BD72" s="109">
        <v>0.033</v>
      </c>
      <c r="BE72" s="98"/>
      <c r="BJ72" s="110"/>
      <c r="BK72" s="111"/>
      <c r="BL72" s="111"/>
      <c r="BM72" s="95"/>
      <c r="BN72" s="95"/>
      <c r="BO72" s="95"/>
      <c r="BT72" s="20"/>
    </row>
    <row r="73" spans="1:72" ht="18.75" customHeight="1" hidden="1">
      <c r="A73" s="11"/>
      <c r="B73" s="102"/>
      <c r="C73" s="10"/>
      <c r="J73" s="10"/>
      <c r="K73" s="12"/>
      <c r="M73" s="24">
        <v>49</v>
      </c>
      <c r="N73" s="24">
        <f>IF(A49="",0,1)</f>
        <v>0</v>
      </c>
      <c r="P73" s="24">
        <f>N73+O72</f>
        <v>0</v>
      </c>
      <c r="V73" s="79"/>
      <c r="X73" s="124" t="e">
        <f>VLOOKUP($A48,#REF!,4,0)</f>
        <v>#REF!</v>
      </c>
      <c r="Y73" s="124"/>
      <c r="Z73" s="124" t="e">
        <f>IF(V72=1,Z71,VLOOKUP($X73,$AY$68:$AZ$72,2,0))</f>
        <v>#REF!</v>
      </c>
      <c r="AA73" s="124"/>
      <c r="AB73" s="124"/>
      <c r="AE73" s="96">
        <v>7</v>
      </c>
      <c r="AF73" s="87" t="s">
        <v>168</v>
      </c>
      <c r="AG73" s="88">
        <v>72</v>
      </c>
      <c r="AH73" s="91" t="s">
        <v>151</v>
      </c>
      <c r="AI73" s="11"/>
      <c r="AJ73" s="11"/>
      <c r="AK73" s="11"/>
      <c r="AL73" s="11"/>
      <c r="AM73" s="11"/>
      <c r="AN73" s="11"/>
      <c r="AO73" s="15"/>
      <c r="AP73" s="16"/>
      <c r="AX73" s="97"/>
      <c r="AY73" s="95"/>
      <c r="AZ73" s="112"/>
      <c r="BA73" s="26" t="s">
        <v>107</v>
      </c>
      <c r="BB73" s="108">
        <v>0.039</v>
      </c>
      <c r="BC73" s="109">
        <v>0.029</v>
      </c>
      <c r="BD73" s="109">
        <v>0.016</v>
      </c>
      <c r="BE73" s="98"/>
      <c r="BJ73" s="110"/>
      <c r="BK73" s="111"/>
      <c r="BL73" s="111"/>
      <c r="BM73" s="95"/>
      <c r="BN73" s="95"/>
      <c r="BO73" s="95"/>
      <c r="BT73" s="20"/>
    </row>
    <row r="74" spans="1:72" ht="18.75" customHeight="1" hidden="1">
      <c r="A74" s="11"/>
      <c r="B74" s="102"/>
      <c r="C74" s="10"/>
      <c r="J74" s="10"/>
      <c r="K74" s="12"/>
      <c r="M74" s="24">
        <v>50</v>
      </c>
      <c r="O74" s="24">
        <f>IF(AF50="",0,10)</f>
        <v>0</v>
      </c>
      <c r="T74" s="24">
        <f>LEFT(P50,2)</f>
      </c>
      <c r="V74" s="78">
        <f>+COUNTIF(J50,"*合計*")</f>
        <v>0</v>
      </c>
      <c r="X74" s="124" t="e">
        <f>VLOOKUP($A50,#REF!,3,0)</f>
        <v>#REF!</v>
      </c>
      <c r="Y74" s="124"/>
      <c r="Z74" s="124" t="e">
        <f>IF(V74=1,Z72,IF(OR(X74=$BA$76,X74=$BA$77),VLOOKUP(X74,$BA$76:$BB$77,2,0),IF(X75=$BB$68,VLOOKUP($X74,$BA$69:$BD$75,2,FALSE),IF(X75=$BC$68,VLOOKUP($X74,$BA$69:$BD$75,3,FALSE),VLOOKUP($X74,$BA$69:$BD$75,4,FALSE)))))</f>
        <v>#REF!</v>
      </c>
      <c r="AA74" s="124"/>
      <c r="AB74" s="124"/>
      <c r="AE74" s="96">
        <v>8</v>
      </c>
      <c r="AF74" s="87" t="s">
        <v>169</v>
      </c>
      <c r="AG74" s="88">
        <v>144</v>
      </c>
      <c r="AH74" s="91" t="s">
        <v>151</v>
      </c>
      <c r="AI74" s="11"/>
      <c r="AJ74" s="11"/>
      <c r="AK74" s="11"/>
      <c r="AL74" s="11"/>
      <c r="AM74" s="11"/>
      <c r="AN74" s="11"/>
      <c r="AO74" s="15"/>
      <c r="AP74" s="16"/>
      <c r="AX74" s="97"/>
      <c r="AY74" s="95"/>
      <c r="AZ74" s="112"/>
      <c r="BA74" s="26" t="s">
        <v>108</v>
      </c>
      <c r="BB74" s="108">
        <v>0.026</v>
      </c>
      <c r="BC74" s="109">
        <v>0.019</v>
      </c>
      <c r="BD74" s="109">
        <v>0.01</v>
      </c>
      <c r="BE74" s="98"/>
      <c r="BJ74" s="110"/>
      <c r="BK74" s="111"/>
      <c r="BL74" s="111"/>
      <c r="BM74" s="95"/>
      <c r="BN74" s="95"/>
      <c r="BO74" s="95"/>
      <c r="BT74" s="20"/>
    </row>
    <row r="75" spans="13:72" ht="18.75" customHeight="1" hidden="1">
      <c r="M75" s="24">
        <v>51</v>
      </c>
      <c r="N75" s="24">
        <f>IF(A51="",0,1)</f>
        <v>0</v>
      </c>
      <c r="P75" s="24">
        <f>N75+O74</f>
        <v>0</v>
      </c>
      <c r="V75" s="79"/>
      <c r="X75" s="124" t="e">
        <f>VLOOKUP($A50,#REF!,4,0)</f>
        <v>#REF!</v>
      </c>
      <c r="Y75" s="124"/>
      <c r="Z75" s="124" t="e">
        <f>IF(V74=1,Z73,VLOOKUP($X75,$AY$68:$AZ$72,2,0))</f>
        <v>#REF!</v>
      </c>
      <c r="AA75" s="124"/>
      <c r="AB75" s="124"/>
      <c r="AE75" s="96">
        <v>9</v>
      </c>
      <c r="AF75" s="113" t="s">
        <v>170</v>
      </c>
      <c r="AG75" s="88">
        <v>48</v>
      </c>
      <c r="AH75" s="91" t="s">
        <v>151</v>
      </c>
      <c r="AI75" s="17"/>
      <c r="AJ75" s="17"/>
      <c r="AK75" s="17"/>
      <c r="AL75" s="17"/>
      <c r="AM75" s="17"/>
      <c r="AN75" s="17"/>
      <c r="AO75" s="15"/>
      <c r="AP75" s="16"/>
      <c r="AX75" s="97"/>
      <c r="AY75" s="95"/>
      <c r="AZ75" s="112"/>
      <c r="BA75" s="26" t="s">
        <v>142</v>
      </c>
      <c r="BB75" s="108">
        <v>0.058</v>
      </c>
      <c r="BC75" s="109">
        <v>0.042</v>
      </c>
      <c r="BD75" s="109">
        <v>0.023</v>
      </c>
      <c r="BE75" s="98"/>
      <c r="BJ75" s="101"/>
      <c r="BK75" s="95"/>
      <c r="BL75" s="95"/>
      <c r="BM75" s="95"/>
      <c r="BN75" s="95"/>
      <c r="BO75" s="95"/>
      <c r="BT75" s="20"/>
    </row>
    <row r="76" spans="13:72" ht="18.75" customHeight="1" hidden="1">
      <c r="M76" s="24">
        <v>52</v>
      </c>
      <c r="O76" s="24">
        <f>IF(AF52="",0,10)</f>
        <v>0</v>
      </c>
      <c r="T76" s="24">
        <f>LEFT(P52,2)</f>
      </c>
      <c r="V76" s="78">
        <f>+COUNTIF(J52,"*合計*")</f>
        <v>0</v>
      </c>
      <c r="X76" s="124" t="e">
        <f>VLOOKUP($A52,#REF!,3,0)</f>
        <v>#REF!</v>
      </c>
      <c r="Y76" s="124"/>
      <c r="Z76" s="124" t="e">
        <f>IF(V76=1,Z74,IF(OR(X76=$BA$76,X76=$BA$77),VLOOKUP(X76,$BA$76:$BB$77,2,0),IF(X77=$BB$68,VLOOKUP($X76,$BA$69:$BD$75,2,FALSE),IF(X77=$BC$68,VLOOKUP($X76,$BA$69:$BD$75,3,FALSE),VLOOKUP($X76,$BA$69:$BD$75,4,FALSE)))))</f>
        <v>#REF!</v>
      </c>
      <c r="AA76" s="124"/>
      <c r="AB76" s="124"/>
      <c r="AE76" s="96">
        <v>10</v>
      </c>
      <c r="AF76" s="113" t="s">
        <v>171</v>
      </c>
      <c r="AG76" s="88">
        <v>96</v>
      </c>
      <c r="AH76" s="91" t="s">
        <v>151</v>
      </c>
      <c r="AI76" s="114"/>
      <c r="AJ76" s="114"/>
      <c r="AK76" s="114"/>
      <c r="AL76" s="114"/>
      <c r="AM76" s="114"/>
      <c r="AN76" s="114"/>
      <c r="AO76" s="15"/>
      <c r="AP76" s="16"/>
      <c r="AX76" s="97"/>
      <c r="AY76" s="95"/>
      <c r="AZ76" s="95"/>
      <c r="BA76" s="26" t="s">
        <v>110</v>
      </c>
      <c r="BB76" s="115">
        <v>1</v>
      </c>
      <c r="BC76" s="95"/>
      <c r="BD76" s="95"/>
      <c r="BE76" s="98"/>
      <c r="BJ76" s="95"/>
      <c r="BT76" s="20"/>
    </row>
    <row r="77" spans="13:72" ht="18.75" customHeight="1" hidden="1">
      <c r="M77" s="24">
        <v>53</v>
      </c>
      <c r="N77" s="24">
        <f>IF(A53="",0,1)</f>
        <v>0</v>
      </c>
      <c r="P77" s="24">
        <f>N77+O76</f>
        <v>0</v>
      </c>
      <c r="V77" s="79"/>
      <c r="X77" s="124" t="e">
        <f>VLOOKUP($A52,#REF!,4,0)</f>
        <v>#REF!</v>
      </c>
      <c r="Y77" s="124"/>
      <c r="Z77" s="124" t="e">
        <f>IF(V76=1,Z75,VLOOKUP($X77,$AY$68:$AZ$72,2,0))</f>
        <v>#REF!</v>
      </c>
      <c r="AA77" s="124"/>
      <c r="AB77" s="124"/>
      <c r="AE77" s="96">
        <v>11</v>
      </c>
      <c r="AF77" s="113" t="s">
        <v>172</v>
      </c>
      <c r="AG77" s="88">
        <v>24</v>
      </c>
      <c r="AH77" s="91" t="s">
        <v>151</v>
      </c>
      <c r="AI77" s="114"/>
      <c r="AJ77" s="114"/>
      <c r="AK77" s="114"/>
      <c r="AL77" s="114"/>
      <c r="AM77" s="114"/>
      <c r="AN77" s="114"/>
      <c r="AO77" s="15"/>
      <c r="AP77" s="16"/>
      <c r="AX77" s="97"/>
      <c r="AY77" s="95"/>
      <c r="AZ77" s="95"/>
      <c r="BA77" s="26" t="s">
        <v>111</v>
      </c>
      <c r="BB77" s="115">
        <v>1</v>
      </c>
      <c r="BC77" s="95"/>
      <c r="BD77" s="95"/>
      <c r="BE77" s="98"/>
      <c r="BT77" s="20"/>
    </row>
    <row r="78" spans="31:72" ht="18.75" customHeight="1" hidden="1">
      <c r="AE78" s="96">
        <v>12</v>
      </c>
      <c r="AF78" s="113" t="s">
        <v>173</v>
      </c>
      <c r="AG78" s="88">
        <v>48</v>
      </c>
      <c r="AH78" s="91" t="s">
        <v>151</v>
      </c>
      <c r="AI78" s="114"/>
      <c r="AJ78" s="114"/>
      <c r="AK78" s="114"/>
      <c r="AL78" s="114"/>
      <c r="AM78" s="114"/>
      <c r="AN78" s="114"/>
      <c r="AO78" s="15"/>
      <c r="AP78" s="16"/>
      <c r="AX78" s="116"/>
      <c r="AY78" s="117"/>
      <c r="AZ78" s="117"/>
      <c r="BA78" s="117"/>
      <c r="BB78" s="117"/>
      <c r="BC78" s="117"/>
      <c r="BD78" s="117"/>
      <c r="BE78" s="118"/>
      <c r="BT78" s="20"/>
    </row>
    <row r="79" spans="31:72" ht="18.75" customHeight="1" hidden="1">
      <c r="AE79" s="96">
        <v>13</v>
      </c>
      <c r="AF79" s="87" t="s">
        <v>141</v>
      </c>
      <c r="AG79" s="88">
        <v>6</v>
      </c>
      <c r="AH79" s="91" t="s">
        <v>152</v>
      </c>
      <c r="AI79" s="114"/>
      <c r="AJ79" s="114"/>
      <c r="AK79" s="114"/>
      <c r="AL79" s="114"/>
      <c r="AM79" s="114"/>
      <c r="AN79" s="114"/>
      <c r="AO79" s="15"/>
      <c r="AP79" s="16"/>
      <c r="BT79" s="20"/>
    </row>
    <row r="80" spans="31:72" ht="18.75" customHeight="1" hidden="1">
      <c r="AE80" s="96">
        <v>14</v>
      </c>
      <c r="AF80" s="87" t="s">
        <v>174</v>
      </c>
      <c r="AG80" s="88">
        <v>18</v>
      </c>
      <c r="AH80" s="91" t="s">
        <v>152</v>
      </c>
      <c r="AI80" s="114"/>
      <c r="AJ80" s="114"/>
      <c r="AK80" s="114"/>
      <c r="AL80" s="114"/>
      <c r="AM80" s="114"/>
      <c r="AN80" s="114"/>
      <c r="AO80" s="15"/>
      <c r="AP80" s="16"/>
      <c r="AS80" s="122"/>
      <c r="AT80" s="123"/>
      <c r="AU80" s="123"/>
      <c r="AV80" s="123"/>
      <c r="AW80" s="123"/>
      <c r="BT80" s="20"/>
    </row>
    <row r="81" spans="31:72" ht="18.75" customHeight="1" hidden="1">
      <c r="AE81" s="96">
        <v>15</v>
      </c>
      <c r="AF81" s="87" t="s">
        <v>175</v>
      </c>
      <c r="AG81" s="88">
        <v>12</v>
      </c>
      <c r="AH81" s="91" t="s">
        <v>152</v>
      </c>
      <c r="AI81" s="114"/>
      <c r="AJ81" s="114"/>
      <c r="AK81" s="114"/>
      <c r="AL81" s="114"/>
      <c r="AM81" s="114"/>
      <c r="AN81" s="114"/>
      <c r="AO81" s="15"/>
      <c r="AP81" s="16"/>
      <c r="AS81" s="107"/>
      <c r="BT81" s="20"/>
    </row>
    <row r="82" spans="31:72" ht="18.75" customHeight="1" hidden="1">
      <c r="AE82" s="96">
        <v>16</v>
      </c>
      <c r="AF82" s="87" t="s">
        <v>176</v>
      </c>
      <c r="AG82" s="88">
        <v>6</v>
      </c>
      <c r="AH82" s="91" t="s">
        <v>152</v>
      </c>
      <c r="AI82" s="114"/>
      <c r="AJ82" s="114"/>
      <c r="AK82" s="114"/>
      <c r="AL82" s="114"/>
      <c r="AM82" s="114"/>
      <c r="AN82" s="114"/>
      <c r="AO82" s="15"/>
      <c r="AP82" s="16"/>
      <c r="BA82" s="26" t="s">
        <v>101</v>
      </c>
      <c r="BT82" s="20"/>
    </row>
    <row r="83" spans="31:72" ht="18.75" customHeight="1" hidden="1">
      <c r="AE83" s="96">
        <v>17</v>
      </c>
      <c r="AF83" s="87" t="s">
        <v>177</v>
      </c>
      <c r="AG83" s="88">
        <v>6</v>
      </c>
      <c r="AH83" s="91" t="s">
        <v>152</v>
      </c>
      <c r="AI83" s="114"/>
      <c r="AJ83" s="114"/>
      <c r="AK83" s="114"/>
      <c r="AL83" s="114"/>
      <c r="AM83" s="114"/>
      <c r="AN83" s="114"/>
      <c r="AO83" s="15"/>
      <c r="AP83" s="16"/>
      <c r="BA83" s="26" t="s">
        <v>103</v>
      </c>
      <c r="BT83" s="20"/>
    </row>
    <row r="84" spans="31:72" ht="18.75" customHeight="1" hidden="1">
      <c r="AE84" s="96">
        <v>18</v>
      </c>
      <c r="AF84" s="87" t="s">
        <v>178</v>
      </c>
      <c r="AG84" s="88">
        <v>18</v>
      </c>
      <c r="AH84" s="91" t="s">
        <v>152</v>
      </c>
      <c r="AI84" s="114"/>
      <c r="AJ84" s="114"/>
      <c r="AK84" s="114"/>
      <c r="AL84" s="114"/>
      <c r="AM84" s="114"/>
      <c r="AN84" s="114"/>
      <c r="AO84" s="15"/>
      <c r="AP84" s="16"/>
      <c r="BA84" s="26" t="s">
        <v>105</v>
      </c>
      <c r="BT84" s="20"/>
    </row>
    <row r="85" spans="31:72" ht="18.75" customHeight="1" hidden="1">
      <c r="AE85" s="96">
        <v>19</v>
      </c>
      <c r="AF85" s="87" t="s">
        <v>179</v>
      </c>
      <c r="AG85" s="88">
        <v>12</v>
      </c>
      <c r="AH85" s="91" t="s">
        <v>152</v>
      </c>
      <c r="AI85" s="114"/>
      <c r="AJ85" s="114"/>
      <c r="AK85" s="114"/>
      <c r="AL85" s="114"/>
      <c r="AM85" s="114"/>
      <c r="AN85" s="114"/>
      <c r="AO85" s="15"/>
      <c r="AP85" s="16"/>
      <c r="BA85" s="26" t="s">
        <v>109</v>
      </c>
      <c r="BT85" s="20"/>
    </row>
    <row r="86" spans="31:72" ht="18.75" customHeight="1" hidden="1">
      <c r="AE86" s="96">
        <v>20</v>
      </c>
      <c r="AF86" s="87" t="s">
        <v>180</v>
      </c>
      <c r="AG86" s="88">
        <v>6</v>
      </c>
      <c r="AH86" s="91" t="s">
        <v>152</v>
      </c>
      <c r="AI86" s="114"/>
      <c r="AJ86" s="114"/>
      <c r="AK86" s="114"/>
      <c r="AL86" s="114"/>
      <c r="AM86" s="114"/>
      <c r="AN86" s="114"/>
      <c r="AO86" s="15"/>
      <c r="AP86" s="16"/>
      <c r="BA86" s="26" t="s">
        <v>110</v>
      </c>
      <c r="BT86" s="20"/>
    </row>
    <row r="87" spans="31:53" ht="18.75" customHeight="1" hidden="1">
      <c r="AE87" s="96">
        <v>21</v>
      </c>
      <c r="AF87" s="87" t="s">
        <v>181</v>
      </c>
      <c r="AG87" s="88">
        <v>6</v>
      </c>
      <c r="AH87" s="91" t="s">
        <v>152</v>
      </c>
      <c r="AI87" s="114"/>
      <c r="AJ87" s="114"/>
      <c r="AK87" s="114"/>
      <c r="AL87" s="114"/>
      <c r="AM87" s="114"/>
      <c r="AN87" s="114"/>
      <c r="AO87" s="15"/>
      <c r="AP87" s="16"/>
      <c r="BA87" s="26" t="s">
        <v>111</v>
      </c>
    </row>
    <row r="88" spans="31:53" ht="18.75" customHeight="1" hidden="1">
      <c r="AE88" s="96">
        <v>22</v>
      </c>
      <c r="AF88" s="87" t="s">
        <v>182</v>
      </c>
      <c r="AG88" s="88">
        <v>18</v>
      </c>
      <c r="AH88" s="91" t="s">
        <v>152</v>
      </c>
      <c r="AI88" s="114"/>
      <c r="AJ88" s="114"/>
      <c r="AK88" s="114"/>
      <c r="AL88" s="114"/>
      <c r="AM88" s="114"/>
      <c r="AN88" s="114"/>
      <c r="AO88" s="15"/>
      <c r="AP88" s="16"/>
      <c r="BA88" s="26" t="s">
        <v>106</v>
      </c>
    </row>
    <row r="89" spans="31:53" ht="18.75" customHeight="1" hidden="1">
      <c r="AE89" s="96">
        <v>23</v>
      </c>
      <c r="AF89" s="87" t="s">
        <v>183</v>
      </c>
      <c r="AG89" s="88">
        <v>12</v>
      </c>
      <c r="AH89" s="91" t="s">
        <v>152</v>
      </c>
      <c r="AI89" s="114"/>
      <c r="AJ89" s="114"/>
      <c r="AK89" s="114"/>
      <c r="AL89" s="114"/>
      <c r="AM89" s="114"/>
      <c r="AN89" s="114"/>
      <c r="AO89" s="15"/>
      <c r="AP89" s="16"/>
      <c r="BA89" s="26" t="s">
        <v>107</v>
      </c>
    </row>
    <row r="90" spans="31:53" ht="18.75" customHeight="1" hidden="1">
      <c r="AE90" s="96">
        <v>24</v>
      </c>
      <c r="AF90" s="87" t="s">
        <v>184</v>
      </c>
      <c r="AG90" s="88">
        <v>6</v>
      </c>
      <c r="AH90" s="91" t="s">
        <v>152</v>
      </c>
      <c r="AI90" s="114"/>
      <c r="AJ90" s="114"/>
      <c r="AK90" s="114"/>
      <c r="AL90" s="114"/>
      <c r="AM90" s="114"/>
      <c r="AN90" s="114"/>
      <c r="AO90" s="15"/>
      <c r="AP90" s="16"/>
      <c r="BA90" s="26" t="s">
        <v>108</v>
      </c>
    </row>
    <row r="91" spans="31:53" ht="18.75" customHeight="1" hidden="1">
      <c r="AE91" s="96">
        <v>25</v>
      </c>
      <c r="AF91" s="87" t="s">
        <v>185</v>
      </c>
      <c r="AG91" s="88">
        <v>6</v>
      </c>
      <c r="AH91" s="91" t="s">
        <v>152</v>
      </c>
      <c r="AI91" s="114"/>
      <c r="AJ91" s="114"/>
      <c r="AK91" s="114"/>
      <c r="AL91" s="114"/>
      <c r="AM91" s="114"/>
      <c r="AN91" s="114"/>
      <c r="AO91" s="15"/>
      <c r="AP91" s="16"/>
      <c r="BA91" s="26" t="s">
        <v>142</v>
      </c>
    </row>
    <row r="92" spans="31:42" ht="18.75" customHeight="1" hidden="1">
      <c r="AE92" s="96">
        <v>26</v>
      </c>
      <c r="AF92" s="119" t="s">
        <v>186</v>
      </c>
      <c r="AG92" s="88">
        <v>36</v>
      </c>
      <c r="AH92" s="91" t="s">
        <v>152</v>
      </c>
      <c r="AI92" s="114"/>
      <c r="AJ92" s="114"/>
      <c r="AK92" s="114"/>
      <c r="AL92" s="114"/>
      <c r="AM92" s="114"/>
      <c r="AN92" s="114"/>
      <c r="AO92" s="15"/>
      <c r="AP92" s="16"/>
    </row>
    <row r="93" spans="31:42" ht="18.75" customHeight="1" hidden="1">
      <c r="AE93" s="96">
        <v>27</v>
      </c>
      <c r="AF93" s="119" t="s">
        <v>187</v>
      </c>
      <c r="AG93" s="88">
        <v>24</v>
      </c>
      <c r="AH93" s="91" t="s">
        <v>152</v>
      </c>
      <c r="AI93" s="114"/>
      <c r="AJ93" s="114"/>
      <c r="AK93" s="114"/>
      <c r="AL93" s="114"/>
      <c r="AM93" s="114"/>
      <c r="AN93" s="114"/>
      <c r="AO93" s="15"/>
      <c r="AP93" s="16"/>
    </row>
    <row r="94" spans="31:42" ht="18.75" customHeight="1" hidden="1">
      <c r="AE94" s="96">
        <v>28</v>
      </c>
      <c r="AF94" s="87" t="s">
        <v>138</v>
      </c>
      <c r="AG94" s="88">
        <v>6</v>
      </c>
      <c r="AH94" s="91" t="s">
        <v>152</v>
      </c>
      <c r="AI94" s="114"/>
      <c r="AJ94" s="114"/>
      <c r="AK94" s="114"/>
      <c r="AL94" s="114"/>
      <c r="AM94" s="114"/>
      <c r="AN94" s="114"/>
      <c r="AO94" s="15"/>
      <c r="AP94" s="16"/>
    </row>
    <row r="95" spans="31:42" ht="18.75" customHeight="1" hidden="1">
      <c r="AE95" s="96">
        <v>29</v>
      </c>
      <c r="AF95" s="87" t="s">
        <v>123</v>
      </c>
      <c r="AG95" s="88">
        <v>540</v>
      </c>
      <c r="AH95" s="91" t="s">
        <v>151</v>
      </c>
      <c r="AI95" s="114"/>
      <c r="AJ95" s="114"/>
      <c r="AK95" s="114"/>
      <c r="AL95" s="114"/>
      <c r="AM95" s="114"/>
      <c r="AN95" s="114"/>
      <c r="AO95" s="15"/>
      <c r="AP95" s="16"/>
    </row>
    <row r="96" spans="31:42" ht="14.25" hidden="1">
      <c r="AE96" s="96">
        <v>30</v>
      </c>
      <c r="AF96" s="87" t="s">
        <v>124</v>
      </c>
      <c r="AG96" s="88">
        <v>290</v>
      </c>
      <c r="AH96" s="91" t="s">
        <v>151</v>
      </c>
      <c r="AI96" s="114"/>
      <c r="AJ96" s="114"/>
      <c r="AK96" s="114"/>
      <c r="AL96" s="114"/>
      <c r="AM96" s="114"/>
      <c r="AN96" s="114"/>
      <c r="AO96" s="15"/>
      <c r="AP96" s="16"/>
    </row>
    <row r="97" spans="31:42" ht="14.25" hidden="1">
      <c r="AE97" s="96">
        <v>31</v>
      </c>
      <c r="AF97" s="87" t="s">
        <v>125</v>
      </c>
      <c r="AG97" s="88">
        <v>500</v>
      </c>
      <c r="AH97" s="91" t="s">
        <v>151</v>
      </c>
      <c r="AI97" s="114"/>
      <c r="AJ97" s="114"/>
      <c r="AK97" s="114"/>
      <c r="AL97" s="114"/>
      <c r="AM97" s="114"/>
      <c r="AN97" s="114"/>
      <c r="AO97" s="15"/>
      <c r="AP97" s="16"/>
    </row>
    <row r="98" spans="31:42" ht="14.25" hidden="1">
      <c r="AE98" s="96">
        <v>32</v>
      </c>
      <c r="AF98" s="87" t="s">
        <v>126</v>
      </c>
      <c r="AG98" s="88">
        <v>250</v>
      </c>
      <c r="AH98" s="91" t="s">
        <v>151</v>
      </c>
      <c r="AI98" s="114"/>
      <c r="AJ98" s="114"/>
      <c r="AK98" s="114"/>
      <c r="AL98" s="114"/>
      <c r="AM98" s="114"/>
      <c r="AN98" s="114"/>
      <c r="AO98" s="15"/>
      <c r="AP98" s="16"/>
    </row>
    <row r="99" spans="31:34" ht="13.5" customHeight="1" hidden="1">
      <c r="AE99" s="96">
        <v>33</v>
      </c>
      <c r="AF99" s="120" t="s">
        <v>206</v>
      </c>
      <c r="AG99" s="121">
        <v>72</v>
      </c>
      <c r="AH99" s="91" t="s">
        <v>151</v>
      </c>
    </row>
    <row r="100" spans="31:34" ht="13.5" customHeight="1" hidden="1">
      <c r="AE100" s="96">
        <v>34</v>
      </c>
      <c r="AF100" s="120" t="s">
        <v>201</v>
      </c>
      <c r="AG100" s="121">
        <v>144</v>
      </c>
      <c r="AH100" s="91" t="s">
        <v>151</v>
      </c>
    </row>
    <row r="101" spans="31:34" ht="13.5" customHeight="1" hidden="1">
      <c r="AE101" s="96">
        <v>35</v>
      </c>
      <c r="AF101" s="120" t="s">
        <v>202</v>
      </c>
      <c r="AG101" s="121">
        <v>48</v>
      </c>
      <c r="AH101" s="91" t="s">
        <v>151</v>
      </c>
    </row>
    <row r="102" spans="31:34" ht="14.25" hidden="1">
      <c r="AE102" s="96">
        <v>36</v>
      </c>
      <c r="AF102" s="120" t="s">
        <v>203</v>
      </c>
      <c r="AG102" s="121">
        <v>96</v>
      </c>
      <c r="AH102" s="91" t="s">
        <v>151</v>
      </c>
    </row>
    <row r="103" spans="31:34" ht="14.25" hidden="1">
      <c r="AE103" s="96">
        <v>37</v>
      </c>
      <c r="AF103" s="120" t="s">
        <v>204</v>
      </c>
      <c r="AG103" s="121">
        <v>24</v>
      </c>
      <c r="AH103" s="91" t="s">
        <v>151</v>
      </c>
    </row>
    <row r="104" spans="31:34" ht="14.25" hidden="1">
      <c r="AE104" s="96">
        <v>38</v>
      </c>
      <c r="AF104" s="120" t="s">
        <v>205</v>
      </c>
      <c r="AG104" s="121">
        <v>48</v>
      </c>
      <c r="AH104" s="91" t="s">
        <v>151</v>
      </c>
    </row>
    <row r="105" spans="31:34" ht="14.25" hidden="1">
      <c r="AE105" s="96">
        <v>39</v>
      </c>
      <c r="AF105" s="120" t="s">
        <v>188</v>
      </c>
      <c r="AG105" s="121">
        <v>72</v>
      </c>
      <c r="AH105" s="91" t="s">
        <v>151</v>
      </c>
    </row>
    <row r="106" spans="31:34" ht="14.25" hidden="1">
      <c r="AE106" s="96">
        <v>40</v>
      </c>
      <c r="AF106" s="120" t="s">
        <v>189</v>
      </c>
      <c r="AG106" s="121">
        <v>144</v>
      </c>
      <c r="AH106" s="91" t="s">
        <v>151</v>
      </c>
    </row>
    <row r="107" spans="31:34" ht="14.25" hidden="1">
      <c r="AE107" s="96">
        <v>41</v>
      </c>
      <c r="AF107" s="120" t="s">
        <v>190</v>
      </c>
      <c r="AG107" s="121">
        <v>48</v>
      </c>
      <c r="AH107" s="91" t="s">
        <v>151</v>
      </c>
    </row>
    <row r="108" spans="31:34" ht="14.25" hidden="1">
      <c r="AE108" s="96">
        <v>42</v>
      </c>
      <c r="AF108" s="120" t="s">
        <v>191</v>
      </c>
      <c r="AG108" s="121">
        <v>96</v>
      </c>
      <c r="AH108" s="91" t="s">
        <v>151</v>
      </c>
    </row>
    <row r="109" spans="31:34" ht="14.25" hidden="1">
      <c r="AE109" s="96">
        <v>43</v>
      </c>
      <c r="AF109" s="120" t="s">
        <v>192</v>
      </c>
      <c r="AG109" s="121">
        <v>24</v>
      </c>
      <c r="AH109" s="91" t="s">
        <v>151</v>
      </c>
    </row>
    <row r="110" spans="31:34" ht="14.25" hidden="1">
      <c r="AE110" s="96">
        <v>44</v>
      </c>
      <c r="AF110" s="120" t="s">
        <v>193</v>
      </c>
      <c r="AG110" s="121">
        <v>48</v>
      </c>
      <c r="AH110" s="91" t="s">
        <v>151</v>
      </c>
    </row>
    <row r="111" ht="13.5" hidden="1"/>
  </sheetData>
  <sheetProtection/>
  <protectedRanges>
    <protectedRange sqref="AK39:AL39 AK41:AL41 AX39:AY39 AX41 AX43 AX45 AX47 AX49 AX51 AX53 AX55 AK43:AL43 AK45:AL45 AK47:AL47 AK49:AL49 AK51:AL51 AK53:AL53 X38:Y53" name="範囲1_2"/>
    <protectedRange sqref="AK54:AL55 X54:Y55 AP54:AQ55 AS54:AT55" name="範囲1_3"/>
  </protectedRanges>
  <mergeCells count="538">
    <mergeCell ref="B1:F1"/>
    <mergeCell ref="H1:P1"/>
    <mergeCell ref="AC1:AQ1"/>
    <mergeCell ref="AS1:AW1"/>
    <mergeCell ref="A3:C5"/>
    <mergeCell ref="D3:G5"/>
    <mergeCell ref="H3:H5"/>
    <mergeCell ref="I3:I5"/>
    <mergeCell ref="J3:J5"/>
    <mergeCell ref="K3:K5"/>
    <mergeCell ref="L3:L5"/>
    <mergeCell ref="M3:M5"/>
    <mergeCell ref="N3:Q5"/>
    <mergeCell ref="R3:W5"/>
    <mergeCell ref="X3:AB4"/>
    <mergeCell ref="AC3:AL3"/>
    <mergeCell ref="AM3:AO5"/>
    <mergeCell ref="AP3:AW5"/>
    <mergeCell ref="AC4:AL4"/>
    <mergeCell ref="X5:AB5"/>
    <mergeCell ref="A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Q8"/>
    <mergeCell ref="R6:W6"/>
    <mergeCell ref="X6:AB7"/>
    <mergeCell ref="AC6:AL7"/>
    <mergeCell ref="AM6:AO8"/>
    <mergeCell ref="AP6:AW8"/>
    <mergeCell ref="R7:W8"/>
    <mergeCell ref="X8:AB8"/>
    <mergeCell ref="A9:C11"/>
    <mergeCell ref="D9:J11"/>
    <mergeCell ref="K9:K11"/>
    <mergeCell ref="L9:M11"/>
    <mergeCell ref="N9:Q11"/>
    <mergeCell ref="R9:W11"/>
    <mergeCell ref="X9:AB10"/>
    <mergeCell ref="AC9:AL10"/>
    <mergeCell ref="AM9:AO11"/>
    <mergeCell ref="AP9:AR11"/>
    <mergeCell ref="AS9:AU11"/>
    <mergeCell ref="AV9:AW11"/>
    <mergeCell ref="X11:AB11"/>
    <mergeCell ref="AC11:AD11"/>
    <mergeCell ref="A12:F14"/>
    <mergeCell ref="G12:M14"/>
    <mergeCell ref="N12:Q14"/>
    <mergeCell ref="R12:W13"/>
    <mergeCell ref="X12:Y14"/>
    <mergeCell ref="Z12:AG12"/>
    <mergeCell ref="R14:W14"/>
    <mergeCell ref="Z14:AG14"/>
    <mergeCell ref="AJ12:AL14"/>
    <mergeCell ref="AM12:AP14"/>
    <mergeCell ref="AQ12:AR14"/>
    <mergeCell ref="AS12:AT14"/>
    <mergeCell ref="AU12:AV14"/>
    <mergeCell ref="AW12:AW14"/>
    <mergeCell ref="A16:F18"/>
    <mergeCell ref="G16:O18"/>
    <mergeCell ref="Q16:AW16"/>
    <mergeCell ref="AV17:AW18"/>
    <mergeCell ref="A19:F20"/>
    <mergeCell ref="G19:O19"/>
    <mergeCell ref="AV19:AW19"/>
    <mergeCell ref="G20:O20"/>
    <mergeCell ref="AV20:AW20"/>
    <mergeCell ref="A21:F22"/>
    <mergeCell ref="G21:O21"/>
    <mergeCell ref="AV21:AW21"/>
    <mergeCell ref="G22:O22"/>
    <mergeCell ref="AV22:AW22"/>
    <mergeCell ref="A23:F24"/>
    <mergeCell ref="G23:O23"/>
    <mergeCell ref="AV23:AW23"/>
    <mergeCell ref="G24:O24"/>
    <mergeCell ref="AV24:AW24"/>
    <mergeCell ref="A25:F26"/>
    <mergeCell ref="G25:O25"/>
    <mergeCell ref="AV25:AW25"/>
    <mergeCell ref="G26:O26"/>
    <mergeCell ref="AV26:AW26"/>
    <mergeCell ref="A27:F28"/>
    <mergeCell ref="G27:O27"/>
    <mergeCell ref="AV27:AW27"/>
    <mergeCell ref="G28:O28"/>
    <mergeCell ref="AV28:AW28"/>
    <mergeCell ref="A29:F30"/>
    <mergeCell ref="G29:O29"/>
    <mergeCell ref="AV29:AW29"/>
    <mergeCell ref="G30:O30"/>
    <mergeCell ref="AV30:AW30"/>
    <mergeCell ref="A31:F32"/>
    <mergeCell ref="G31:O31"/>
    <mergeCell ref="AV31:AW31"/>
    <mergeCell ref="G32:O32"/>
    <mergeCell ref="AV32:AW32"/>
    <mergeCell ref="A33:F34"/>
    <mergeCell ref="G33:O33"/>
    <mergeCell ref="AV33:AW33"/>
    <mergeCell ref="G34:O34"/>
    <mergeCell ref="AV34:AW34"/>
    <mergeCell ref="A36:E37"/>
    <mergeCell ref="F36:I37"/>
    <mergeCell ref="J36:O37"/>
    <mergeCell ref="P36:R37"/>
    <mergeCell ref="S36:T37"/>
    <mergeCell ref="U36:V36"/>
    <mergeCell ref="W36:W37"/>
    <mergeCell ref="X36:Y37"/>
    <mergeCell ref="Z36:AA37"/>
    <mergeCell ref="AB36:AC37"/>
    <mergeCell ref="AD36:AE37"/>
    <mergeCell ref="AF36:AH37"/>
    <mergeCell ref="AI36:AJ37"/>
    <mergeCell ref="AK36:AM37"/>
    <mergeCell ref="AN36:AO37"/>
    <mergeCell ref="AP36:AR37"/>
    <mergeCell ref="AS36:AU37"/>
    <mergeCell ref="AV36:AW37"/>
    <mergeCell ref="A38:E38"/>
    <mergeCell ref="F38:I39"/>
    <mergeCell ref="J38:O39"/>
    <mergeCell ref="P38:R39"/>
    <mergeCell ref="S38:T39"/>
    <mergeCell ref="U38:U39"/>
    <mergeCell ref="V38:V39"/>
    <mergeCell ref="W38:W39"/>
    <mergeCell ref="X38:Y38"/>
    <mergeCell ref="Z38:AA39"/>
    <mergeCell ref="AB38:AC39"/>
    <mergeCell ref="AD38:AE38"/>
    <mergeCell ref="AF38:AH38"/>
    <mergeCell ref="AI38:AJ39"/>
    <mergeCell ref="AK38:AM38"/>
    <mergeCell ref="AN38:AO39"/>
    <mergeCell ref="AP38:AR38"/>
    <mergeCell ref="AS38:AU38"/>
    <mergeCell ref="AV38:AW38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BO38:BO39"/>
    <mergeCell ref="BP38:BP39"/>
    <mergeCell ref="BQ38:BQ39"/>
    <mergeCell ref="BR38:BR39"/>
    <mergeCell ref="A39:E39"/>
    <mergeCell ref="X39:Y39"/>
    <mergeCell ref="AD39:AE39"/>
    <mergeCell ref="AF39:AH39"/>
    <mergeCell ref="AK39:AM39"/>
    <mergeCell ref="AP39:AR39"/>
    <mergeCell ref="AS39:AU39"/>
    <mergeCell ref="AV39:AW39"/>
    <mergeCell ref="A40:E40"/>
    <mergeCell ref="F40:I41"/>
    <mergeCell ref="J40:O41"/>
    <mergeCell ref="P40:R41"/>
    <mergeCell ref="S40:T41"/>
    <mergeCell ref="U40:U41"/>
    <mergeCell ref="V40:V41"/>
    <mergeCell ref="W40:W41"/>
    <mergeCell ref="X40:Y40"/>
    <mergeCell ref="Z40:AA41"/>
    <mergeCell ref="AB40:AC41"/>
    <mergeCell ref="AD40:AE40"/>
    <mergeCell ref="AF40:AH40"/>
    <mergeCell ref="AI40:AJ41"/>
    <mergeCell ref="AK40:AM40"/>
    <mergeCell ref="AN40:AO41"/>
    <mergeCell ref="AP40:AR40"/>
    <mergeCell ref="AS40:AU40"/>
    <mergeCell ref="AP41:AR41"/>
    <mergeCell ref="AS41:AU41"/>
    <mergeCell ref="AV40:AW40"/>
    <mergeCell ref="BC40:BC41"/>
    <mergeCell ref="BD40:BD41"/>
    <mergeCell ref="BE40:BE41"/>
    <mergeCell ref="BF40:BF41"/>
    <mergeCell ref="BG40:BG41"/>
    <mergeCell ref="AV41:AW41"/>
    <mergeCell ref="BH40:BH41"/>
    <mergeCell ref="BI40:BI41"/>
    <mergeCell ref="BJ40:BJ41"/>
    <mergeCell ref="BK40:BK41"/>
    <mergeCell ref="BL40:BL41"/>
    <mergeCell ref="BM40:BM41"/>
    <mergeCell ref="BN40:BN41"/>
    <mergeCell ref="BO40:BO41"/>
    <mergeCell ref="BP40:BP41"/>
    <mergeCell ref="BQ40:BQ41"/>
    <mergeCell ref="BR40:BR41"/>
    <mergeCell ref="A41:E41"/>
    <mergeCell ref="X41:Y41"/>
    <mergeCell ref="AD41:AE41"/>
    <mergeCell ref="AF41:AH41"/>
    <mergeCell ref="AK41:AM41"/>
    <mergeCell ref="A42:E42"/>
    <mergeCell ref="F42:I43"/>
    <mergeCell ref="J42:O43"/>
    <mergeCell ref="P42:R43"/>
    <mergeCell ref="S42:T43"/>
    <mergeCell ref="U42:U43"/>
    <mergeCell ref="V42:V43"/>
    <mergeCell ref="W42:W43"/>
    <mergeCell ref="X42:Y42"/>
    <mergeCell ref="Z42:AA43"/>
    <mergeCell ref="AB42:AC43"/>
    <mergeCell ref="AD42:AE42"/>
    <mergeCell ref="AF42:AH42"/>
    <mergeCell ref="AI42:AJ43"/>
    <mergeCell ref="AK42:AM42"/>
    <mergeCell ref="AN42:AO43"/>
    <mergeCell ref="AP42:AR42"/>
    <mergeCell ref="AS42:AU42"/>
    <mergeCell ref="AP43:AR43"/>
    <mergeCell ref="AS43:AU43"/>
    <mergeCell ref="AV42:AW42"/>
    <mergeCell ref="BC42:BC43"/>
    <mergeCell ref="BD42:BD43"/>
    <mergeCell ref="BE42:BE43"/>
    <mergeCell ref="BF42:BF43"/>
    <mergeCell ref="BG42:BG43"/>
    <mergeCell ref="AV43:AW43"/>
    <mergeCell ref="BH42:BH43"/>
    <mergeCell ref="BI42:BI43"/>
    <mergeCell ref="BJ42:BJ43"/>
    <mergeCell ref="BK42:BK43"/>
    <mergeCell ref="BL42:BL43"/>
    <mergeCell ref="BM42:BM43"/>
    <mergeCell ref="BN42:BN43"/>
    <mergeCell ref="BO42:BO43"/>
    <mergeCell ref="BP42:BP43"/>
    <mergeCell ref="BQ42:BQ43"/>
    <mergeCell ref="BR42:BR43"/>
    <mergeCell ref="A43:E43"/>
    <mergeCell ref="X43:Y43"/>
    <mergeCell ref="AD43:AE43"/>
    <mergeCell ref="AF43:AH43"/>
    <mergeCell ref="AK43:AM43"/>
    <mergeCell ref="A44:E44"/>
    <mergeCell ref="F44:I45"/>
    <mergeCell ref="J44:O45"/>
    <mergeCell ref="P44:R45"/>
    <mergeCell ref="S44:T45"/>
    <mergeCell ref="U44:U45"/>
    <mergeCell ref="V44:V45"/>
    <mergeCell ref="W44:W45"/>
    <mergeCell ref="X44:Y44"/>
    <mergeCell ref="Z44:AA45"/>
    <mergeCell ref="AB44:AC45"/>
    <mergeCell ref="AD44:AE44"/>
    <mergeCell ref="AF44:AH44"/>
    <mergeCell ref="AI44:AJ45"/>
    <mergeCell ref="AK44:AM44"/>
    <mergeCell ref="AN44:AO45"/>
    <mergeCell ref="AP44:AR44"/>
    <mergeCell ref="AS44:AU44"/>
    <mergeCell ref="AP45:AR45"/>
    <mergeCell ref="AS45:AU45"/>
    <mergeCell ref="AV44:AW44"/>
    <mergeCell ref="BC44:BC45"/>
    <mergeCell ref="BD44:BD45"/>
    <mergeCell ref="BE44:BE45"/>
    <mergeCell ref="BF44:BF45"/>
    <mergeCell ref="BG44:BG45"/>
    <mergeCell ref="AV45:AW45"/>
    <mergeCell ref="BH44:BH45"/>
    <mergeCell ref="BI44:BI45"/>
    <mergeCell ref="BJ44:BJ45"/>
    <mergeCell ref="BK44:BK45"/>
    <mergeCell ref="BL44:BL45"/>
    <mergeCell ref="BM44:BM45"/>
    <mergeCell ref="BN44:BN45"/>
    <mergeCell ref="BO44:BO45"/>
    <mergeCell ref="BP44:BP45"/>
    <mergeCell ref="BQ44:BQ45"/>
    <mergeCell ref="BR44:BR45"/>
    <mergeCell ref="A45:E45"/>
    <mergeCell ref="X45:Y45"/>
    <mergeCell ref="AD45:AE45"/>
    <mergeCell ref="AF45:AH45"/>
    <mergeCell ref="AK45:AM45"/>
    <mergeCell ref="A46:E46"/>
    <mergeCell ref="F46:I47"/>
    <mergeCell ref="J46:O47"/>
    <mergeCell ref="P46:R47"/>
    <mergeCell ref="S46:T47"/>
    <mergeCell ref="U46:U47"/>
    <mergeCell ref="V46:V47"/>
    <mergeCell ref="W46:W47"/>
    <mergeCell ref="X46:Y46"/>
    <mergeCell ref="Z46:AA47"/>
    <mergeCell ref="AB46:AC47"/>
    <mergeCell ref="AD46:AE46"/>
    <mergeCell ref="AF46:AH46"/>
    <mergeCell ref="AI46:AJ47"/>
    <mergeCell ref="AK46:AM46"/>
    <mergeCell ref="AN46:AO47"/>
    <mergeCell ref="AP46:AR46"/>
    <mergeCell ref="AS46:AU46"/>
    <mergeCell ref="AP47:AR47"/>
    <mergeCell ref="AS47:AU47"/>
    <mergeCell ref="AV46:AW46"/>
    <mergeCell ref="BC46:BC47"/>
    <mergeCell ref="BD46:BD47"/>
    <mergeCell ref="BE46:BE47"/>
    <mergeCell ref="BF46:BF47"/>
    <mergeCell ref="BG46:BG47"/>
    <mergeCell ref="AV47:AW47"/>
    <mergeCell ref="BH46:BH47"/>
    <mergeCell ref="BI46:BI47"/>
    <mergeCell ref="BJ46:BJ47"/>
    <mergeCell ref="BK46:BK47"/>
    <mergeCell ref="BL46:BL47"/>
    <mergeCell ref="BM46:BM47"/>
    <mergeCell ref="BN46:BN47"/>
    <mergeCell ref="BO46:BO47"/>
    <mergeCell ref="BP46:BP47"/>
    <mergeCell ref="BQ46:BQ47"/>
    <mergeCell ref="BR46:BR47"/>
    <mergeCell ref="A47:E47"/>
    <mergeCell ref="X47:Y47"/>
    <mergeCell ref="AD47:AE47"/>
    <mergeCell ref="AF47:AH47"/>
    <mergeCell ref="AK47:AM47"/>
    <mergeCell ref="A48:E48"/>
    <mergeCell ref="F48:I49"/>
    <mergeCell ref="J48:O49"/>
    <mergeCell ref="P48:R49"/>
    <mergeCell ref="S48:T49"/>
    <mergeCell ref="U48:U49"/>
    <mergeCell ref="V48:V49"/>
    <mergeCell ref="W48:W49"/>
    <mergeCell ref="X48:Y48"/>
    <mergeCell ref="Z48:AA49"/>
    <mergeCell ref="AB48:AC49"/>
    <mergeCell ref="AD48:AE48"/>
    <mergeCell ref="AF48:AH48"/>
    <mergeCell ref="AI48:AJ49"/>
    <mergeCell ref="AK48:AM48"/>
    <mergeCell ref="AN48:AO49"/>
    <mergeCell ref="AP48:AR48"/>
    <mergeCell ref="AS48:AU48"/>
    <mergeCell ref="AP49:AR49"/>
    <mergeCell ref="AS49:AU49"/>
    <mergeCell ref="AV48:AW48"/>
    <mergeCell ref="BC48:BC49"/>
    <mergeCell ref="BD48:BD49"/>
    <mergeCell ref="BE48:BE49"/>
    <mergeCell ref="BF48:BF49"/>
    <mergeCell ref="BG48:BG49"/>
    <mergeCell ref="AV49:AW49"/>
    <mergeCell ref="BH48:BH49"/>
    <mergeCell ref="BI48:BI49"/>
    <mergeCell ref="BJ48:BJ49"/>
    <mergeCell ref="BK48:BK49"/>
    <mergeCell ref="BL48:BL49"/>
    <mergeCell ref="BM48:BM49"/>
    <mergeCell ref="BN48:BN49"/>
    <mergeCell ref="BO48:BO49"/>
    <mergeCell ref="BP48:BP49"/>
    <mergeCell ref="BQ48:BQ49"/>
    <mergeCell ref="BR48:BR49"/>
    <mergeCell ref="A49:E49"/>
    <mergeCell ref="X49:Y49"/>
    <mergeCell ref="AD49:AE49"/>
    <mergeCell ref="AF49:AH49"/>
    <mergeCell ref="AK49:AM49"/>
    <mergeCell ref="A50:E50"/>
    <mergeCell ref="F50:I51"/>
    <mergeCell ref="J50:O51"/>
    <mergeCell ref="P50:R51"/>
    <mergeCell ref="S50:T51"/>
    <mergeCell ref="U50:U51"/>
    <mergeCell ref="V50:V51"/>
    <mergeCell ref="W50:W51"/>
    <mergeCell ref="X50:Y50"/>
    <mergeCell ref="Z50:AA51"/>
    <mergeCell ref="AB50:AC51"/>
    <mergeCell ref="AD50:AE50"/>
    <mergeCell ref="AF50:AH50"/>
    <mergeCell ref="AI50:AJ51"/>
    <mergeCell ref="AK50:AM50"/>
    <mergeCell ref="AN50:AO51"/>
    <mergeCell ref="AP50:AR50"/>
    <mergeCell ref="AS50:AU50"/>
    <mergeCell ref="AP51:AR51"/>
    <mergeCell ref="AS51:AU51"/>
    <mergeCell ref="AV50:AW50"/>
    <mergeCell ref="BC50:BC51"/>
    <mergeCell ref="BD50:BD51"/>
    <mergeCell ref="BE50:BE51"/>
    <mergeCell ref="BF50:BF51"/>
    <mergeCell ref="BG50:BG51"/>
    <mergeCell ref="AV51:AW51"/>
    <mergeCell ref="BH50:BH51"/>
    <mergeCell ref="BI50:BI51"/>
    <mergeCell ref="BJ50:BJ51"/>
    <mergeCell ref="BK50:BK51"/>
    <mergeCell ref="BL50:BL51"/>
    <mergeCell ref="BM50:BM51"/>
    <mergeCell ref="BN50:BN51"/>
    <mergeCell ref="BO50:BO51"/>
    <mergeCell ref="BP50:BP51"/>
    <mergeCell ref="BQ50:BQ51"/>
    <mergeCell ref="BR50:BR51"/>
    <mergeCell ref="A51:E51"/>
    <mergeCell ref="X51:Y51"/>
    <mergeCell ref="AD51:AE51"/>
    <mergeCell ref="AF51:AH51"/>
    <mergeCell ref="AK51:AM51"/>
    <mergeCell ref="A52:E52"/>
    <mergeCell ref="F52:I53"/>
    <mergeCell ref="J52:O53"/>
    <mergeCell ref="P52:R53"/>
    <mergeCell ref="S52:T53"/>
    <mergeCell ref="U52:U53"/>
    <mergeCell ref="V52:V53"/>
    <mergeCell ref="W52:W53"/>
    <mergeCell ref="X52:Y52"/>
    <mergeCell ref="Z52:AA53"/>
    <mergeCell ref="AB52:AC53"/>
    <mergeCell ref="AD52:AE52"/>
    <mergeCell ref="AF52:AH52"/>
    <mergeCell ref="AI52:AJ53"/>
    <mergeCell ref="AK52:AM52"/>
    <mergeCell ref="AN52:AO53"/>
    <mergeCell ref="AP52:AR52"/>
    <mergeCell ref="AS52:AU52"/>
    <mergeCell ref="AP53:AR53"/>
    <mergeCell ref="AS53:AU53"/>
    <mergeCell ref="AV52:AW52"/>
    <mergeCell ref="BC52:BC53"/>
    <mergeCell ref="BD52:BD53"/>
    <mergeCell ref="BE52:BE53"/>
    <mergeCell ref="BF52:BF53"/>
    <mergeCell ref="BG52:BG53"/>
    <mergeCell ref="AV53:AW53"/>
    <mergeCell ref="BH52:BH53"/>
    <mergeCell ref="BI52:BI53"/>
    <mergeCell ref="BJ52:BJ53"/>
    <mergeCell ref="BK52:BK53"/>
    <mergeCell ref="BL52:BL53"/>
    <mergeCell ref="BM52:BM53"/>
    <mergeCell ref="BN52:BN53"/>
    <mergeCell ref="BO52:BO53"/>
    <mergeCell ref="BP52:BP53"/>
    <mergeCell ref="BQ52:BQ53"/>
    <mergeCell ref="BR52:BR53"/>
    <mergeCell ref="A53:E53"/>
    <mergeCell ref="X53:Y53"/>
    <mergeCell ref="AD53:AE53"/>
    <mergeCell ref="AF53:AH53"/>
    <mergeCell ref="AK53:AM53"/>
    <mergeCell ref="A54:O54"/>
    <mergeCell ref="P54:T55"/>
    <mergeCell ref="U54:W55"/>
    <mergeCell ref="X54:Y54"/>
    <mergeCell ref="Z54:AA54"/>
    <mergeCell ref="AB54:AC54"/>
    <mergeCell ref="AD54:AE54"/>
    <mergeCell ref="AF54:AH54"/>
    <mergeCell ref="AI54:AJ55"/>
    <mergeCell ref="AK54:AM54"/>
    <mergeCell ref="AN54:AO55"/>
    <mergeCell ref="AP54:AR54"/>
    <mergeCell ref="AK55:AM55"/>
    <mergeCell ref="AP55:AR55"/>
    <mergeCell ref="AS54:AU54"/>
    <mergeCell ref="AV54:AW54"/>
    <mergeCell ref="BC54:BC55"/>
    <mergeCell ref="BG54:BG55"/>
    <mergeCell ref="A55:O55"/>
    <mergeCell ref="X55:Y55"/>
    <mergeCell ref="Z55:AA55"/>
    <mergeCell ref="AB55:AC55"/>
    <mergeCell ref="AD55:AE55"/>
    <mergeCell ref="AF55:AH55"/>
    <mergeCell ref="AS55:AU55"/>
    <mergeCell ref="AV55:AW55"/>
    <mergeCell ref="AN56:AR56"/>
    <mergeCell ref="AS56:AW56"/>
    <mergeCell ref="J58:O59"/>
    <mergeCell ref="X62:Y62"/>
    <mergeCell ref="Z62:AB62"/>
    <mergeCell ref="AD62:AE62"/>
    <mergeCell ref="X63:Y63"/>
    <mergeCell ref="Z63:AB63"/>
    <mergeCell ref="X64:Y64"/>
    <mergeCell ref="Z64:AB64"/>
    <mergeCell ref="AD64:AE64"/>
    <mergeCell ref="X65:Y65"/>
    <mergeCell ref="Z65:AB65"/>
    <mergeCell ref="X66:Y66"/>
    <mergeCell ref="Z66:AB66"/>
    <mergeCell ref="AD66:AE66"/>
    <mergeCell ref="X67:Y67"/>
    <mergeCell ref="Z67:AB67"/>
    <mergeCell ref="X68:Y68"/>
    <mergeCell ref="Z68:AB68"/>
    <mergeCell ref="X69:Y69"/>
    <mergeCell ref="Z69:AB69"/>
    <mergeCell ref="X70:Y70"/>
    <mergeCell ref="Z70:AB70"/>
    <mergeCell ref="X71:Y71"/>
    <mergeCell ref="Z71:AB71"/>
    <mergeCell ref="X72:Y72"/>
    <mergeCell ref="Z72:AB72"/>
    <mergeCell ref="X73:Y73"/>
    <mergeCell ref="Z73:AB73"/>
    <mergeCell ref="X74:Y74"/>
    <mergeCell ref="Z74:AB74"/>
    <mergeCell ref="AS80:AW80"/>
    <mergeCell ref="X75:Y75"/>
    <mergeCell ref="Z75:AB75"/>
    <mergeCell ref="X76:Y76"/>
    <mergeCell ref="Z76:AB76"/>
    <mergeCell ref="X77:Y77"/>
    <mergeCell ref="Z77:AB77"/>
  </mergeCells>
  <conditionalFormatting sqref="AV20:AW20 AV19 AV22:AW22 AV24:AW24 AV26:AW26 AV28:AW28 AV30:AW30 AV32:AW32">
    <cfRule type="cellIs" priority="19" dxfId="20" operator="equal" stopIfTrue="1">
      <formula>0</formula>
    </cfRule>
  </conditionalFormatting>
  <conditionalFormatting sqref="AV40">
    <cfRule type="cellIs" priority="18" dxfId="21" operator="equal" stopIfTrue="1">
      <formula>0</formula>
    </cfRule>
  </conditionalFormatting>
  <conditionalFormatting sqref="AI38 AI40 AI42 AI44 AI46 AI48 AI50 AI52">
    <cfRule type="cellIs" priority="17" dxfId="21" operator="equal" stopIfTrue="1">
      <formula>0</formula>
    </cfRule>
  </conditionalFormatting>
  <conditionalFormatting sqref="AV39">
    <cfRule type="cellIs" priority="16" dxfId="21" operator="equal" stopIfTrue="1">
      <formula>0</formula>
    </cfRule>
  </conditionalFormatting>
  <conditionalFormatting sqref="AV31 AV29 AV27 AV25 AV23 AV21">
    <cfRule type="cellIs" priority="15" dxfId="20" operator="equal" stopIfTrue="1">
      <formula>0</formula>
    </cfRule>
  </conditionalFormatting>
  <conditionalFormatting sqref="AV33">
    <cfRule type="cellIs" priority="14" dxfId="20" operator="equal" stopIfTrue="1">
      <formula>0</formula>
    </cfRule>
  </conditionalFormatting>
  <conditionalFormatting sqref="Q18:AU18">
    <cfRule type="cellIs" priority="13" dxfId="11" operator="equal" stopIfTrue="1">
      <formula>"日"</formula>
    </cfRule>
  </conditionalFormatting>
  <conditionalFormatting sqref="AF54:AH54">
    <cfRule type="containsBlanks" priority="12" dxfId="12" stopIfTrue="1">
      <formula>LEN(TRIM(AF54))=0</formula>
    </cfRule>
    <cfRule type="cellIs" priority="20" dxfId="11" operator="greaterThan" stopIfTrue="1">
      <formula>$AM$12</formula>
    </cfRule>
  </conditionalFormatting>
  <conditionalFormatting sqref="X38">
    <cfRule type="cellIs" priority="11" dxfId="21" operator="equal" stopIfTrue="1">
      <formula>0</formula>
    </cfRule>
  </conditionalFormatting>
  <conditionalFormatting sqref="X40">
    <cfRule type="cellIs" priority="10" dxfId="21" operator="equal" stopIfTrue="1">
      <formula>0</formula>
    </cfRule>
  </conditionalFormatting>
  <conditionalFormatting sqref="AV41">
    <cfRule type="cellIs" priority="9" dxfId="21" operator="equal" stopIfTrue="1">
      <formula>0</formula>
    </cfRule>
  </conditionalFormatting>
  <conditionalFormatting sqref="J58:O59">
    <cfRule type="expression" priority="7" dxfId="22" stopIfTrue="1">
      <formula>COUNTIF($J58,"*合計*")=1</formula>
    </cfRule>
    <cfRule type="cellIs" priority="8" dxfId="20" operator="equal" stopIfTrue="1">
      <formula>0</formula>
    </cfRule>
  </conditionalFormatting>
  <conditionalFormatting sqref="AV34:AW34">
    <cfRule type="cellIs" priority="6" dxfId="20" operator="equal" stopIfTrue="1">
      <formula>0</formula>
    </cfRule>
  </conditionalFormatting>
  <conditionalFormatting sqref="AV42 AV44 AV46 AV48 AV50 AV52">
    <cfRule type="cellIs" priority="5" dxfId="21" operator="equal" stopIfTrue="1">
      <formula>0</formula>
    </cfRule>
  </conditionalFormatting>
  <conditionalFormatting sqref="X42 X44 X46 X48 X50 X52">
    <cfRule type="cellIs" priority="4" dxfId="21" operator="equal" stopIfTrue="1">
      <formula>0</formula>
    </cfRule>
  </conditionalFormatting>
  <conditionalFormatting sqref="AV43 AV45 AV47 AV49 AV51 AV53">
    <cfRule type="cellIs" priority="3" dxfId="21" operator="equal" stopIfTrue="1">
      <formula>0</formula>
    </cfRule>
  </conditionalFormatting>
  <conditionalFormatting sqref="J38:O53">
    <cfRule type="expression" priority="1" dxfId="22" stopIfTrue="1">
      <formula>COUNTIF($J38,"*合計*")=1</formula>
    </cfRule>
    <cfRule type="cellIs" priority="2" dxfId="2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2018-01-31T04:40:35Z</cp:lastPrinted>
  <dcterms:created xsi:type="dcterms:W3CDTF">2006-04-27T06:01:29Z</dcterms:created>
  <dcterms:modified xsi:type="dcterms:W3CDTF">2019-04-02T04:53:41Z</dcterms:modified>
  <cp:category/>
  <cp:version/>
  <cp:contentType/>
  <cp:contentStatus/>
</cp:coreProperties>
</file>